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3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eu Drive\02_PROJETOS\ARQFM\04 - Material\Planilhas\"/>
    </mc:Choice>
  </mc:AlternateContent>
  <xr:revisionPtr revIDLastSave="0" documentId="13_ncr:1_{D7C0C6C0-E093-4B3A-9024-AEF277FBE71C}" xr6:coauthVersionLast="47" xr6:coauthVersionMax="47" xr10:uidLastSave="{00000000-0000-0000-0000-000000000000}"/>
  <bookViews>
    <workbookView xWindow="-108" yWindow="-108" windowWidth="23256" windowHeight="12456" xr2:uid="{85309316-7E43-4914-88DE-015BB01F4262}"/>
  </bookViews>
  <sheets>
    <sheet name="CALC_TR_SABINE" sheetId="5" r:id="rId1"/>
    <sheet name="CALC_TR_FITZROY" sheetId="2" r:id="rId2"/>
    <sheet name="BASE_M²" sheetId="1" r:id="rId3"/>
    <sheet name="BASE_UN" sheetId="3" r:id="rId4"/>
    <sheet name="NBR12179 - TR_ÓTIMO" sheetId="4" state="hidden" r:id="rId5"/>
  </sheets>
  <definedNames>
    <definedName name="a_Ex">CALC_TR_FITZROY!$L$61</definedName>
    <definedName name="a_Ex_125">CALC_TR_FITZROY!$F$61</definedName>
    <definedName name="a_Ex_1k">CALC_TR_FITZROY!$I$61</definedName>
    <definedName name="a_Ex_250">CALC_TR_FITZROY!$G$61</definedName>
    <definedName name="a_Ex_2k">CALC_TR_FITZROY!$J$61</definedName>
    <definedName name="a_Ex_4k">CALC_TR_FITZROY!$K$61</definedName>
    <definedName name="a_Ex_500">CALC_TR_FITZROY!$H$61</definedName>
    <definedName name="a_Ey">CALC_TR_FITZROY!$L$65</definedName>
    <definedName name="a_Ez">CALC_TR_FITZROY!$L$69</definedName>
    <definedName name="aF">CALC_TR_FITZROY!$L$73</definedName>
    <definedName name="Altura">CALC_TR_FITZROY!$P$10</definedName>
    <definedName name="aST">CALC_TR_FITZROY!$L$77</definedName>
    <definedName name="Comp">CALC_TR_FITZROY!$P$10</definedName>
    <definedName name="Comprimento">CALC_TR_FITZROY!$P$10</definedName>
    <definedName name="Largura">CALC_TR_FITZROY!$P$9</definedName>
    <definedName name="St">CALC_TR_FITZROY!$E$55</definedName>
    <definedName name="Superficie">CALC_TR_FITZROY!$P$13</definedName>
    <definedName name="Sx">CALC_TR_FITZROY!$E$21</definedName>
    <definedName name="Sy">CALC_TR_FITZROY!$E$37</definedName>
    <definedName name="Sz">CALC_TR_FITZROY!$E$53</definedName>
    <definedName name="TR_CA">CALC_TR_FITZROY!$L$85</definedName>
    <definedName name="TR_ST">CALC_TR_FITZROY!$L$81</definedName>
    <definedName name="Volume">CALC_TR_FITZROY!$P$14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6" i="5" l="1"/>
  <c r="K92" i="5"/>
  <c r="K91" i="5"/>
  <c r="K88" i="5"/>
  <c r="K87" i="5"/>
  <c r="K86" i="5"/>
  <c r="K85" i="5"/>
  <c r="K82" i="5"/>
  <c r="K79" i="5"/>
  <c r="L109" i="2"/>
  <c r="L57" i="2"/>
  <c r="E47" i="2"/>
  <c r="E42" i="2"/>
  <c r="E31" i="2"/>
  <c r="E26" i="2"/>
  <c r="E15" i="2"/>
  <c r="E10" i="2"/>
  <c r="M50" i="2"/>
  <c r="K50" i="2"/>
  <c r="J50" i="2"/>
  <c r="I50" i="2"/>
  <c r="H50" i="2"/>
  <c r="G50" i="2"/>
  <c r="F50" i="2"/>
  <c r="M49" i="2"/>
  <c r="K49" i="2"/>
  <c r="J49" i="2"/>
  <c r="I49" i="2"/>
  <c r="H49" i="2"/>
  <c r="G49" i="2"/>
  <c r="F49" i="2"/>
  <c r="M48" i="2"/>
  <c r="K48" i="2"/>
  <c r="J48" i="2"/>
  <c r="I48" i="2"/>
  <c r="H48" i="2"/>
  <c r="G48" i="2"/>
  <c r="F48" i="2"/>
  <c r="M47" i="2"/>
  <c r="K47" i="2"/>
  <c r="J47" i="2"/>
  <c r="I47" i="2"/>
  <c r="H47" i="2"/>
  <c r="G47" i="2"/>
  <c r="F47" i="2"/>
  <c r="M45" i="2"/>
  <c r="K45" i="2"/>
  <c r="J45" i="2"/>
  <c r="I45" i="2"/>
  <c r="H45" i="2"/>
  <c r="G45" i="2"/>
  <c r="F45" i="2"/>
  <c r="M44" i="2"/>
  <c r="K44" i="2"/>
  <c r="J44" i="2"/>
  <c r="I44" i="2"/>
  <c r="H44" i="2"/>
  <c r="G44" i="2"/>
  <c r="F44" i="2"/>
  <c r="M43" i="2"/>
  <c r="K43" i="2"/>
  <c r="J43" i="2"/>
  <c r="I43" i="2"/>
  <c r="H43" i="2"/>
  <c r="G43" i="2"/>
  <c r="F43" i="2"/>
  <c r="M42" i="2"/>
  <c r="K42" i="2"/>
  <c r="J42" i="2"/>
  <c r="I42" i="2"/>
  <c r="H42" i="2"/>
  <c r="G42" i="2"/>
  <c r="F42" i="2"/>
  <c r="M34" i="2"/>
  <c r="K34" i="2"/>
  <c r="J34" i="2"/>
  <c r="I34" i="2"/>
  <c r="H34" i="2"/>
  <c r="G34" i="2"/>
  <c r="F34" i="2"/>
  <c r="M33" i="2"/>
  <c r="K33" i="2"/>
  <c r="J33" i="2"/>
  <c r="I33" i="2"/>
  <c r="H33" i="2"/>
  <c r="G33" i="2"/>
  <c r="F33" i="2"/>
  <c r="M32" i="2"/>
  <c r="K32" i="2"/>
  <c r="J32" i="2"/>
  <c r="I32" i="2"/>
  <c r="H32" i="2"/>
  <c r="G32" i="2"/>
  <c r="F32" i="2"/>
  <c r="M31" i="2"/>
  <c r="K31" i="2"/>
  <c r="J31" i="2"/>
  <c r="I31" i="2"/>
  <c r="H31" i="2"/>
  <c r="G31" i="2"/>
  <c r="F31" i="2"/>
  <c r="M29" i="2"/>
  <c r="K29" i="2"/>
  <c r="J29" i="2"/>
  <c r="I29" i="2"/>
  <c r="H29" i="2"/>
  <c r="G29" i="2"/>
  <c r="F29" i="2"/>
  <c r="M28" i="2"/>
  <c r="K28" i="2"/>
  <c r="J28" i="2"/>
  <c r="I28" i="2"/>
  <c r="H28" i="2"/>
  <c r="G28" i="2"/>
  <c r="F28" i="2"/>
  <c r="M27" i="2"/>
  <c r="K27" i="2"/>
  <c r="J27" i="2"/>
  <c r="I27" i="2"/>
  <c r="H27" i="2"/>
  <c r="G27" i="2"/>
  <c r="F27" i="2"/>
  <c r="M26" i="2"/>
  <c r="K26" i="2"/>
  <c r="J26" i="2"/>
  <c r="I26" i="2"/>
  <c r="H26" i="2"/>
  <c r="G26" i="2"/>
  <c r="F26" i="2"/>
  <c r="K18" i="2"/>
  <c r="J18" i="2"/>
  <c r="I18" i="2"/>
  <c r="H18" i="2"/>
  <c r="G18" i="2"/>
  <c r="F18" i="2"/>
  <c r="K17" i="2"/>
  <c r="J17" i="2"/>
  <c r="I17" i="2"/>
  <c r="H17" i="2"/>
  <c r="G17" i="2"/>
  <c r="F17" i="2"/>
  <c r="K16" i="2"/>
  <c r="J16" i="2"/>
  <c r="I16" i="2"/>
  <c r="H16" i="2"/>
  <c r="G16" i="2"/>
  <c r="F16" i="2"/>
  <c r="K15" i="2"/>
  <c r="J15" i="2"/>
  <c r="I15" i="2"/>
  <c r="H15" i="2"/>
  <c r="G15" i="2"/>
  <c r="F15" i="2"/>
  <c r="K13" i="2"/>
  <c r="J13" i="2"/>
  <c r="I13" i="2"/>
  <c r="H13" i="2"/>
  <c r="G13" i="2"/>
  <c r="F13" i="2"/>
  <c r="K12" i="2"/>
  <c r="J12" i="2"/>
  <c r="I12" i="2"/>
  <c r="H12" i="2"/>
  <c r="G12" i="2"/>
  <c r="F12" i="2"/>
  <c r="K11" i="2"/>
  <c r="J11" i="2"/>
  <c r="I11" i="2"/>
  <c r="H11" i="2"/>
  <c r="G11" i="2"/>
  <c r="F11" i="2"/>
  <c r="K10" i="2"/>
  <c r="J10" i="2"/>
  <c r="I10" i="2"/>
  <c r="H10" i="2"/>
  <c r="G10" i="2"/>
  <c r="M18" i="2"/>
  <c r="M13" i="2"/>
  <c r="M12" i="2"/>
  <c r="M11" i="2"/>
  <c r="M10" i="2"/>
  <c r="F10" i="2"/>
  <c r="M17" i="2"/>
  <c r="M16" i="2"/>
  <c r="M15" i="2"/>
  <c r="K64" i="5"/>
  <c r="L51" i="5"/>
  <c r="J51" i="5"/>
  <c r="I51" i="5"/>
  <c r="H51" i="5"/>
  <c r="G51" i="5"/>
  <c r="F51" i="5"/>
  <c r="K51" i="5" s="1"/>
  <c r="E51" i="5"/>
  <c r="L50" i="5"/>
  <c r="J50" i="5"/>
  <c r="I50" i="5"/>
  <c r="H50" i="5"/>
  <c r="G50" i="5"/>
  <c r="F50" i="5"/>
  <c r="K50" i="5" s="1"/>
  <c r="E50" i="5"/>
  <c r="L49" i="5"/>
  <c r="J49" i="5"/>
  <c r="I49" i="5"/>
  <c r="H49" i="5"/>
  <c r="G49" i="5"/>
  <c r="F49" i="5"/>
  <c r="K49" i="5" s="1"/>
  <c r="E49" i="5"/>
  <c r="L48" i="5"/>
  <c r="J48" i="5"/>
  <c r="I48" i="5"/>
  <c r="H48" i="5"/>
  <c r="G48" i="5"/>
  <c r="F48" i="5"/>
  <c r="E48" i="5"/>
  <c r="L47" i="5"/>
  <c r="J47" i="5"/>
  <c r="I47" i="5"/>
  <c r="H47" i="5"/>
  <c r="G47" i="5"/>
  <c r="F47" i="5"/>
  <c r="E47" i="5"/>
  <c r="L46" i="5"/>
  <c r="J46" i="5"/>
  <c r="I46" i="5"/>
  <c r="H46" i="5"/>
  <c r="G46" i="5"/>
  <c r="F46" i="5"/>
  <c r="E46" i="5"/>
  <c r="L45" i="5"/>
  <c r="J45" i="5"/>
  <c r="I45" i="5"/>
  <c r="H45" i="5"/>
  <c r="G45" i="5"/>
  <c r="F45" i="5"/>
  <c r="E45" i="5"/>
  <c r="L44" i="5"/>
  <c r="J44" i="5"/>
  <c r="I44" i="5"/>
  <c r="H44" i="5"/>
  <c r="G44" i="5"/>
  <c r="F44" i="5"/>
  <c r="E44" i="5"/>
  <c r="K37" i="5"/>
  <c r="L36" i="5"/>
  <c r="J36" i="5"/>
  <c r="I36" i="5"/>
  <c r="H36" i="5"/>
  <c r="G36" i="5"/>
  <c r="F36" i="5"/>
  <c r="E36" i="5"/>
  <c r="L35" i="5"/>
  <c r="J35" i="5"/>
  <c r="I35" i="5"/>
  <c r="H35" i="5"/>
  <c r="G35" i="5"/>
  <c r="F35" i="5"/>
  <c r="K35" i="5" s="1"/>
  <c r="E35" i="5"/>
  <c r="L34" i="5"/>
  <c r="J34" i="5"/>
  <c r="I34" i="5"/>
  <c r="H34" i="5"/>
  <c r="G34" i="5"/>
  <c r="F34" i="5"/>
  <c r="E34" i="5"/>
  <c r="L33" i="5"/>
  <c r="J33" i="5"/>
  <c r="I33" i="5"/>
  <c r="H33" i="5"/>
  <c r="G33" i="5"/>
  <c r="F33" i="5"/>
  <c r="E33" i="5"/>
  <c r="L32" i="5"/>
  <c r="J32" i="5"/>
  <c r="I32" i="5"/>
  <c r="H32" i="5"/>
  <c r="G32" i="5"/>
  <c r="F32" i="5"/>
  <c r="E32" i="5"/>
  <c r="L31" i="5"/>
  <c r="J31" i="5"/>
  <c r="I31" i="5"/>
  <c r="H31" i="5"/>
  <c r="G31" i="5"/>
  <c r="F31" i="5"/>
  <c r="E31" i="5"/>
  <c r="L30" i="5"/>
  <c r="J30" i="5"/>
  <c r="I30" i="5"/>
  <c r="H30" i="5"/>
  <c r="G30" i="5"/>
  <c r="F30" i="5"/>
  <c r="E30" i="5"/>
  <c r="L29" i="5"/>
  <c r="J29" i="5"/>
  <c r="I29" i="5"/>
  <c r="H29" i="5"/>
  <c r="G29" i="5"/>
  <c r="F29" i="5"/>
  <c r="E29" i="5"/>
  <c r="L28" i="5"/>
  <c r="J28" i="5"/>
  <c r="I28" i="5"/>
  <c r="H28" i="5"/>
  <c r="G28" i="5"/>
  <c r="F28" i="5"/>
  <c r="E28" i="5"/>
  <c r="L27" i="5"/>
  <c r="J27" i="5"/>
  <c r="I27" i="5"/>
  <c r="H27" i="5"/>
  <c r="G27" i="5"/>
  <c r="F27" i="5"/>
  <c r="K27" i="5" s="1"/>
  <c r="E27" i="5"/>
  <c r="L26" i="5"/>
  <c r="J26" i="5"/>
  <c r="I26" i="5"/>
  <c r="H26" i="5"/>
  <c r="G26" i="5"/>
  <c r="F26" i="5"/>
  <c r="E26" i="5"/>
  <c r="L25" i="5"/>
  <c r="J25" i="5"/>
  <c r="I25" i="5"/>
  <c r="H25" i="5"/>
  <c r="G25" i="5"/>
  <c r="F25" i="5"/>
  <c r="E25" i="5"/>
  <c r="L24" i="5"/>
  <c r="J24" i="5"/>
  <c r="I24" i="5"/>
  <c r="H24" i="5"/>
  <c r="G24" i="5"/>
  <c r="F24" i="5"/>
  <c r="E24" i="5"/>
  <c r="L23" i="5"/>
  <c r="J23" i="5"/>
  <c r="I23" i="5"/>
  <c r="H23" i="5"/>
  <c r="G23" i="5"/>
  <c r="F23" i="5"/>
  <c r="E23" i="5"/>
  <c r="L22" i="5"/>
  <c r="J22" i="5"/>
  <c r="I22" i="5"/>
  <c r="H22" i="5"/>
  <c r="G22" i="5"/>
  <c r="F22" i="5"/>
  <c r="E22" i="5"/>
  <c r="L21" i="5"/>
  <c r="J21" i="5"/>
  <c r="I21" i="5"/>
  <c r="H21" i="5"/>
  <c r="G21" i="5"/>
  <c r="F21" i="5"/>
  <c r="E21" i="5"/>
  <c r="L20" i="5"/>
  <c r="J20" i="5"/>
  <c r="I20" i="5"/>
  <c r="H20" i="5"/>
  <c r="G20" i="5"/>
  <c r="F20" i="5"/>
  <c r="E20" i="5"/>
  <c r="L19" i="5"/>
  <c r="J19" i="5"/>
  <c r="I19" i="5"/>
  <c r="H19" i="5"/>
  <c r="G19" i="5"/>
  <c r="F19" i="5"/>
  <c r="E19" i="5"/>
  <c r="L18" i="5"/>
  <c r="J18" i="5"/>
  <c r="I18" i="5"/>
  <c r="H18" i="5"/>
  <c r="G18" i="5"/>
  <c r="F18" i="5"/>
  <c r="E18" i="5"/>
  <c r="L17" i="5"/>
  <c r="J17" i="5"/>
  <c r="I17" i="5"/>
  <c r="H17" i="5"/>
  <c r="G17" i="5"/>
  <c r="F17" i="5"/>
  <c r="E17" i="5"/>
  <c r="D17" i="5"/>
  <c r="L16" i="5"/>
  <c r="J16" i="5"/>
  <c r="I16" i="5"/>
  <c r="H16" i="5"/>
  <c r="G16" i="5"/>
  <c r="F16" i="5"/>
  <c r="E16" i="5"/>
  <c r="D16" i="5"/>
  <c r="L15" i="5"/>
  <c r="J15" i="5"/>
  <c r="I15" i="5"/>
  <c r="H15" i="5"/>
  <c r="G15" i="5"/>
  <c r="F15" i="5"/>
  <c r="E15" i="5"/>
  <c r="D15" i="5"/>
  <c r="D18" i="5" s="1"/>
  <c r="D13" i="5" s="1"/>
  <c r="O14" i="5"/>
  <c r="S13" i="5" s="1"/>
  <c r="L14" i="5"/>
  <c r="J14" i="5"/>
  <c r="I14" i="5"/>
  <c r="H14" i="5"/>
  <c r="G14" i="5"/>
  <c r="F14" i="5"/>
  <c r="E14" i="5"/>
  <c r="D14" i="5"/>
  <c r="D11" i="5" s="1"/>
  <c r="O13" i="5"/>
  <c r="L13" i="5"/>
  <c r="J13" i="5"/>
  <c r="I13" i="5"/>
  <c r="H13" i="5"/>
  <c r="G13" i="5"/>
  <c r="F13" i="5"/>
  <c r="K13" i="5" s="1"/>
  <c r="E13" i="5"/>
  <c r="L12" i="5"/>
  <c r="J12" i="5"/>
  <c r="I12" i="5"/>
  <c r="H12" i="5"/>
  <c r="G12" i="5"/>
  <c r="F12" i="5"/>
  <c r="E12" i="5"/>
  <c r="D12" i="5"/>
  <c r="L11" i="5"/>
  <c r="J11" i="5"/>
  <c r="I11" i="5"/>
  <c r="H11" i="5"/>
  <c r="G11" i="5"/>
  <c r="F11" i="5"/>
  <c r="E11" i="5"/>
  <c r="L10" i="5"/>
  <c r="J10" i="5"/>
  <c r="I10" i="5"/>
  <c r="H10" i="5"/>
  <c r="G10" i="5"/>
  <c r="F10" i="5"/>
  <c r="E10" i="5"/>
  <c r="D10" i="5"/>
  <c r="P13" i="2"/>
  <c r="K10" i="5" l="1"/>
  <c r="E52" i="5"/>
  <c r="K45" i="5"/>
  <c r="F38" i="5"/>
  <c r="K20" i="5"/>
  <c r="K28" i="5"/>
  <c r="K36" i="5"/>
  <c r="F52" i="5"/>
  <c r="G52" i="5"/>
  <c r="K12" i="5"/>
  <c r="K14" i="5"/>
  <c r="K26" i="5"/>
  <c r="K34" i="5"/>
  <c r="H52" i="5"/>
  <c r="E38" i="5"/>
  <c r="K11" i="5"/>
  <c r="K17" i="5"/>
  <c r="K25" i="5"/>
  <c r="K33" i="5"/>
  <c r="I52" i="5"/>
  <c r="K24" i="5"/>
  <c r="K32" i="5"/>
  <c r="J52" i="5"/>
  <c r="K48" i="5"/>
  <c r="K23" i="5"/>
  <c r="K31" i="5"/>
  <c r="K47" i="5"/>
  <c r="K22" i="5"/>
  <c r="K30" i="5"/>
  <c r="K46" i="5"/>
  <c r="K21" i="5"/>
  <c r="K29" i="5"/>
  <c r="S14" i="5"/>
  <c r="K18" i="5"/>
  <c r="G38" i="5"/>
  <c r="S15" i="5"/>
  <c r="S16" i="5"/>
  <c r="K15" i="5"/>
  <c r="S19" i="5"/>
  <c r="K44" i="5"/>
  <c r="S10" i="5"/>
  <c r="S11" i="5"/>
  <c r="S17" i="5"/>
  <c r="S12" i="5"/>
  <c r="O18" i="5" s="1"/>
  <c r="K76" i="5" s="1"/>
  <c r="G76" i="5" s="1"/>
  <c r="G104" i="5" s="1"/>
  <c r="K16" i="5"/>
  <c r="K19" i="5"/>
  <c r="L77" i="2"/>
  <c r="E53" i="2"/>
  <c r="L26" i="2"/>
  <c r="E21" i="2"/>
  <c r="L34" i="2"/>
  <c r="L50" i="2"/>
  <c r="F36" i="2"/>
  <c r="L28" i="2"/>
  <c r="L33" i="2"/>
  <c r="E37" i="2"/>
  <c r="L45" i="2"/>
  <c r="L44" i="2"/>
  <c r="L11" i="2"/>
  <c r="L43" i="2"/>
  <c r="L47" i="2"/>
  <c r="L49" i="2"/>
  <c r="L48" i="2"/>
  <c r="L42" i="2"/>
  <c r="F52" i="2"/>
  <c r="H52" i="2"/>
  <c r="I52" i="2"/>
  <c r="J52" i="2"/>
  <c r="K52" i="2"/>
  <c r="G52" i="2"/>
  <c r="L12" i="2"/>
  <c r="L32" i="2"/>
  <c r="L31" i="2"/>
  <c r="L27" i="2"/>
  <c r="L13" i="2"/>
  <c r="L18" i="2"/>
  <c r="L29" i="2"/>
  <c r="G36" i="2"/>
  <c r="H36" i="2"/>
  <c r="I36" i="2"/>
  <c r="I65" i="2" s="1"/>
  <c r="J36" i="2"/>
  <c r="K36" i="2"/>
  <c r="L16" i="2"/>
  <c r="L17" i="2"/>
  <c r="L15" i="2"/>
  <c r="H20" i="2"/>
  <c r="F20" i="2"/>
  <c r="I20" i="2"/>
  <c r="J20" i="2"/>
  <c r="K20" i="2"/>
  <c r="K61" i="2" s="1"/>
  <c r="L10" i="2"/>
  <c r="G20" i="2"/>
  <c r="J38" i="5"/>
  <c r="E68" i="5"/>
  <c r="D39" i="5"/>
  <c r="F68" i="5"/>
  <c r="G68" i="5"/>
  <c r="F56" i="5"/>
  <c r="H68" i="5"/>
  <c r="I68" i="5"/>
  <c r="H38" i="5"/>
  <c r="J68" i="5"/>
  <c r="S18" i="5"/>
  <c r="I38" i="5"/>
  <c r="K68" i="5"/>
  <c r="O19" i="5" s="1"/>
  <c r="K52" i="5" l="1"/>
  <c r="K38" i="5"/>
  <c r="H56" i="5"/>
  <c r="I56" i="5"/>
  <c r="F61" i="2"/>
  <c r="H61" i="2"/>
  <c r="J69" i="2"/>
  <c r="I69" i="2"/>
  <c r="J65" i="2"/>
  <c r="F69" i="2"/>
  <c r="H76" i="5"/>
  <c r="H104" i="5" s="1"/>
  <c r="H105" i="5" s="1"/>
  <c r="G56" i="5"/>
  <c r="K56" i="5" s="1"/>
  <c r="I76" i="5"/>
  <c r="I104" i="5" s="1"/>
  <c r="E56" i="5"/>
  <c r="J76" i="5"/>
  <c r="J104" i="5" s="1"/>
  <c r="J105" i="5" s="1"/>
  <c r="E76" i="5"/>
  <c r="E104" i="5" s="1"/>
  <c r="E105" i="5" s="1"/>
  <c r="F76" i="5"/>
  <c r="F104" i="5" s="1"/>
  <c r="F105" i="5" s="1"/>
  <c r="K104" i="5"/>
  <c r="K105" i="5" s="1"/>
  <c r="L52" i="2"/>
  <c r="L69" i="2" s="1"/>
  <c r="J61" i="2"/>
  <c r="G61" i="2"/>
  <c r="I61" i="2"/>
  <c r="E55" i="2"/>
  <c r="K65" i="2"/>
  <c r="H69" i="2"/>
  <c r="H65" i="2"/>
  <c r="G65" i="2"/>
  <c r="G69" i="2"/>
  <c r="K69" i="2"/>
  <c r="F65" i="2"/>
  <c r="L36" i="2"/>
  <c r="L65" i="2" s="1"/>
  <c r="L20" i="2"/>
  <c r="L61" i="2" s="1"/>
  <c r="G105" i="5"/>
  <c r="I105" i="5"/>
  <c r="J56" i="5"/>
  <c r="P14" i="2"/>
  <c r="L100" i="2" s="1"/>
  <c r="L98" i="2" l="1"/>
  <c r="L104" i="2"/>
  <c r="F81" i="2"/>
  <c r="F73" i="2"/>
  <c r="F85" i="2" s="1"/>
  <c r="G81" i="2"/>
  <c r="K81" i="2"/>
  <c r="J81" i="2"/>
  <c r="I81" i="2"/>
  <c r="H81" i="2"/>
  <c r="L81" i="2"/>
  <c r="K73" i="2"/>
  <c r="K85" i="2" s="1"/>
  <c r="L73" i="2"/>
  <c r="L85" i="2" s="1"/>
  <c r="J73" i="2"/>
  <c r="J85" i="2" s="1"/>
  <c r="I73" i="2"/>
  <c r="I85" i="2" s="1"/>
  <c r="H73" i="2"/>
  <c r="H85" i="2" s="1"/>
  <c r="G73" i="2"/>
  <c r="G85" i="2" s="1"/>
  <c r="T10" i="2"/>
  <c r="P19" i="2"/>
  <c r="F60" i="5"/>
  <c r="H60" i="5"/>
  <c r="K60" i="5"/>
  <c r="E60" i="5"/>
  <c r="J60" i="5"/>
  <c r="G60" i="5"/>
  <c r="I60" i="5"/>
  <c r="L95" i="2" l="1"/>
  <c r="L92" i="2"/>
  <c r="L101" i="2"/>
  <c r="L99" i="2"/>
  <c r="L105" i="2"/>
  <c r="F72" i="5"/>
  <c r="F99" i="5" s="1"/>
  <c r="F112" i="5"/>
  <c r="F117" i="5"/>
  <c r="F118" i="5" s="1"/>
  <c r="F119" i="5" s="1"/>
  <c r="H72" i="5"/>
  <c r="H99" i="5" s="1"/>
  <c r="H117" i="5"/>
  <c r="H118" i="5" s="1"/>
  <c r="H112" i="5"/>
  <c r="G72" i="5"/>
  <c r="G112" i="5"/>
  <c r="G117" i="5"/>
  <c r="G118" i="5" s="1"/>
  <c r="E72" i="5"/>
  <c r="E112" i="5"/>
  <c r="E117" i="5"/>
  <c r="E118" i="5" s="1"/>
  <c r="E119" i="5" s="1"/>
  <c r="I72" i="5"/>
  <c r="I112" i="5"/>
  <c r="I117" i="5"/>
  <c r="I118" i="5" s="1"/>
  <c r="J72" i="5"/>
  <c r="J99" i="5" s="1"/>
  <c r="J112" i="5"/>
  <c r="J117" i="5"/>
  <c r="J118" i="5" s="1"/>
  <c r="K72" i="5"/>
  <c r="K99" i="5" s="1"/>
  <c r="K117" i="5"/>
  <c r="K112" i="5"/>
  <c r="I99" i="5" l="1"/>
  <c r="G99" i="5"/>
  <c r="E99" i="5"/>
  <c r="T19" i="2"/>
  <c r="T18" i="2"/>
  <c r="T17" i="2"/>
  <c r="T16" i="2"/>
  <c r="T15" i="2"/>
  <c r="T14" i="2"/>
  <c r="T13" i="2"/>
  <c r="T12" i="2"/>
  <c r="P18" i="2" s="1"/>
  <c r="T11" i="2"/>
  <c r="L89" i="2" l="1"/>
  <c r="I89" i="2" l="1"/>
  <c r="K89" i="2"/>
  <c r="G89" i="2"/>
  <c r="J89" i="2"/>
  <c r="H89" i="2"/>
  <c r="F89" i="2"/>
  <c r="F112" i="2" s="1"/>
  <c r="G112" i="2" l="1"/>
  <c r="H112" i="2"/>
  <c r="L112" i="2"/>
  <c r="K112" i="2"/>
  <c r="I112" i="2"/>
  <c r="J112" i="2"/>
</calcChain>
</file>

<file path=xl/sharedStrings.xml><?xml version="1.0" encoding="utf-8"?>
<sst xmlns="http://schemas.openxmlformats.org/spreadsheetml/2006/main" count="617" uniqueCount="245">
  <si>
    <t>Materiais</t>
  </si>
  <si>
    <t>Concreto áspero (superfície de concreto)</t>
  </si>
  <si>
    <t>Concreto liso sem pintura</t>
  </si>
  <si>
    <t>Concreto liso, pintado ou envernizado</t>
  </si>
  <si>
    <t>Blocos de concreto poroso (sem acabamento superficial)</t>
  </si>
  <si>
    <t>Alvenaria padrão</t>
  </si>
  <si>
    <t>Reboco áspero, cal</t>
  </si>
  <si>
    <t>Reboco liso</t>
  </si>
  <si>
    <t>Azulejos cerâmicos com superfície lisa</t>
  </si>
  <si>
    <t>Gesso na parede sólida</t>
  </si>
  <si>
    <t>Gesso acartonado</t>
  </si>
  <si>
    <t>Vidraça de janela</t>
  </si>
  <si>
    <t>Compensado (madeira compensada)</t>
  </si>
  <si>
    <t>Madeira compensada de 12 mm de espessura em estrutura com espaço aéreo de 30 mm atrás</t>
  </si>
  <si>
    <t>Madeira compensada de 12 mm de espessura em estrutura com espaço aéreo de 30 mm contendo lã de vidro</t>
  </si>
  <si>
    <t>Madeira compensada, painéis de madeira sobre espaço aéreo de 25 mm em suporte sólido</t>
  </si>
  <si>
    <t>Madeira compensada, painéis de madeira sobre espaço aéreo de 25 mm em suporte sólido com material absorvente no espaço aéreo</t>
  </si>
  <si>
    <t>Madeira dura, mogno</t>
  </si>
  <si>
    <t>Placa de resina de fibra de vidro (25 mm de espessura)</t>
  </si>
  <si>
    <t>Espuma de poliuretano flexível (50 mm de espessura)</t>
  </si>
  <si>
    <t>Espuma de poliuretano rígida (50 mm de espessura)</t>
  </si>
  <si>
    <t>Cortinas penduradas em dobras contra a parede</t>
  </si>
  <si>
    <t>Cortina de algodão comum na parede</t>
  </si>
  <si>
    <t>Mármore</t>
  </si>
  <si>
    <t>Piso de computador elevado, aglomerado de 45 mm com face de aço, 800 mm acima do piso de concreto, sem carpete</t>
  </si>
  <si>
    <t>Piso de computador elevado, aglomerado de 45 mm com face de aço, 800 mm acima do piso de concreto, carpetes para escritório</t>
  </si>
  <si>
    <t>Piso de madeira em vigas</t>
  </si>
  <si>
    <t>Parquet fixado em asfalto, em concreto</t>
  </si>
  <si>
    <t>Parquet no contra-piso</t>
  </si>
  <si>
    <t>Linóleo ou vinil preso ao concreto</t>
  </si>
  <si>
    <t>Camada de borracha, cortiça, linóleo + forro, ou vinil + forro preso ao concreto</t>
  </si>
  <si>
    <t>Taco colado</t>
  </si>
  <si>
    <t>Carpete fino sobre feltro fino em concreto</t>
  </si>
  <si>
    <t>Carpete fino sobre feltro fino em assoalho de madeira</t>
  </si>
  <si>
    <t>Piso de borracha</t>
  </si>
  <si>
    <t>Carpete 4 mm - Fademac</t>
  </si>
  <si>
    <t>-</t>
  </si>
  <si>
    <t>Carpete de juta</t>
  </si>
  <si>
    <t>Tapete boucle duro</t>
  </si>
  <si>
    <t>Tapete de veludo</t>
  </si>
  <si>
    <t>Muralflex carpete de parede</t>
  </si>
  <si>
    <t>Pedra (revestimento)</t>
  </si>
  <si>
    <t>Painel de gesso</t>
  </si>
  <si>
    <t>Forro de Madeira - Painel Nexacustic 8 - Plenum 20 cm vazio - NRC 0,60</t>
  </si>
  <si>
    <t>Forro de Madeira - Painel Nexacustic 8 - Plenum 20 cm + lã 5 cm - NRC 0,95</t>
  </si>
  <si>
    <t>Cortiça</t>
  </si>
  <si>
    <t>Aluno sentado em cadeiras de braços (por aluno)</t>
  </si>
  <si>
    <t>Piso e assento estofado, revestido com tecido, desocupado, por m2</t>
  </si>
  <si>
    <t>Assento, levemente estofado, ocupado (por item)</t>
  </si>
  <si>
    <t>Assento de auditório, desocupado (por item)</t>
  </si>
  <si>
    <t>Assento de auditório, ocupado (por item)</t>
  </si>
  <si>
    <t>Mobiliário de escritório para adultos (por mesa)</t>
  </si>
  <si>
    <t>Banco de madeira</t>
  </si>
  <si>
    <t>Cadeira de assento dobradiço, de madeira vazia</t>
  </si>
  <si>
    <t>Cadeira de palhinha</t>
  </si>
  <si>
    <t>Cadeira estofada com couro, desocupada</t>
  </si>
  <si>
    <t>Cadeira metal/madeira, desocupada</t>
  </si>
  <si>
    <t>Pessoa em assento de madeira</t>
  </si>
  <si>
    <t>Poltrona com assento móvel de couro</t>
  </si>
  <si>
    <t>Poltrona com assento móvel de madeira compensada</t>
  </si>
  <si>
    <t>Poltrona estofada, vazia coberta de tecido</t>
  </si>
  <si>
    <t>Cobogó</t>
  </si>
  <si>
    <t>125 Hz</t>
  </si>
  <si>
    <t>250 Hz</t>
  </si>
  <si>
    <t>1000 Hz</t>
  </si>
  <si>
    <t>500 Hz</t>
  </si>
  <si>
    <t>2000 Hz</t>
  </si>
  <si>
    <t>4000 Hz</t>
  </si>
  <si>
    <t>Especificações Materiais</t>
  </si>
  <si>
    <t>CRR</t>
  </si>
  <si>
    <t>Fonte</t>
  </si>
  <si>
    <t>USP - AUT0280; 2018</t>
  </si>
  <si>
    <t xml:space="preserve">1. Absorção parcial devido a Superfícies </t>
  </si>
  <si>
    <t>Placa de madeira / linóleo / borracha / cortiça (fina) no piso sólido (ou parede)</t>
  </si>
  <si>
    <t>Área [m²]</t>
  </si>
  <si>
    <t>2. Absorção parcial devido a Corpos</t>
  </si>
  <si>
    <t>Quant. [Un.]</t>
  </si>
  <si>
    <t>[m².sabin]</t>
  </si>
  <si>
    <t>Área Superficial Total [m²]:</t>
  </si>
  <si>
    <t>3. Coeficiente de absorção médio do recinto</t>
  </si>
  <si>
    <t>Ar (4.m)</t>
  </si>
  <si>
    <t>BERANEK (1988)</t>
  </si>
  <si>
    <r>
      <t>a</t>
    </r>
    <r>
      <rPr>
        <sz val="8"/>
        <rFont val="Calibri"/>
        <family val="2"/>
        <scheme val="minor"/>
      </rPr>
      <t>m</t>
    </r>
  </si>
  <si>
    <t>4. Absorção Acústica Total [m².sabin]</t>
  </si>
  <si>
    <r>
      <t>A</t>
    </r>
    <r>
      <rPr>
        <sz val="8"/>
        <rFont val="Calibri"/>
        <family val="2"/>
        <scheme val="minor"/>
      </rPr>
      <t>T</t>
    </r>
  </si>
  <si>
    <t>Volume [m³]:</t>
  </si>
  <si>
    <t>USOS</t>
  </si>
  <si>
    <t>USO/SIMILAR:</t>
  </si>
  <si>
    <t>ESTÚDIO DE RÁDIO PARA PALAVRA</t>
  </si>
  <si>
    <t>SALA DE CONFERÊNCIA</t>
  </si>
  <si>
    <t>CINEMA</t>
  </si>
  <si>
    <t>ESTÚDIO PARA MÚSICA</t>
  </si>
  <si>
    <t>ÓPERA</t>
  </si>
  <si>
    <t>SALA DE CONCERTO</t>
  </si>
  <si>
    <t>IGREJA PROTESTANTE</t>
  </si>
  <si>
    <t>SINAGOGA</t>
  </si>
  <si>
    <t>IGREJA CATÓLICA</t>
  </si>
  <si>
    <t>MÚSICA DE ÓRGÃO</t>
  </si>
  <si>
    <t>V</t>
  </si>
  <si>
    <t>TR5</t>
  </si>
  <si>
    <t>TR4</t>
  </si>
  <si>
    <t>TR3</t>
  </si>
  <si>
    <t>TR1</t>
  </si>
  <si>
    <t>TR2</t>
  </si>
  <si>
    <t>TRo</t>
  </si>
  <si>
    <t>Área aberta</t>
  </si>
  <si>
    <r>
      <t xml:space="preserve">Telha metálica </t>
    </r>
    <r>
      <rPr>
        <i/>
        <sz val="11"/>
        <color theme="1"/>
        <rFont val="Calibri"/>
        <family val="2"/>
        <scheme val="minor"/>
      </rPr>
      <t>chapa lisa frisada</t>
    </r>
  </si>
  <si>
    <t>CHRISCHON, Dieivase et al. 2018</t>
  </si>
  <si>
    <t>OWA. Sonex illtec</t>
  </si>
  <si>
    <t>NBR12179</t>
  </si>
  <si>
    <t>Área acrescida [m²]:</t>
  </si>
  <si>
    <r>
      <t>A</t>
    </r>
    <r>
      <rPr>
        <sz val="8"/>
        <rFont val="Calibri"/>
        <family val="2"/>
        <scheme val="minor"/>
      </rPr>
      <t>TO</t>
    </r>
  </si>
  <si>
    <t>Assoalho em tábua corrida, com espaço livre até o contrapiso</t>
  </si>
  <si>
    <t>Assoalho em tábua corrida, sobre contrapiso</t>
  </si>
  <si>
    <t>BISTAFA, Sylvio R; 2007</t>
  </si>
  <si>
    <t>Chapa metálica de 16mm</t>
  </si>
  <si>
    <t>Apostila. p72, tab. 15.8</t>
  </si>
  <si>
    <t>TR_CA - TR_o [%]</t>
  </si>
  <si>
    <t>Assento simples de plástico, vazia</t>
  </si>
  <si>
    <t>ID</t>
  </si>
  <si>
    <t>Assento simples de plástico, ocupada</t>
  </si>
  <si>
    <r>
      <t>a</t>
    </r>
    <r>
      <rPr>
        <sz val="8"/>
        <color theme="1"/>
        <rFont val="Calibri"/>
        <family val="2"/>
        <scheme val="minor"/>
      </rPr>
      <t>mo</t>
    </r>
  </si>
  <si>
    <t>Assento, levemente estofado, desocupado (por item)</t>
  </si>
  <si>
    <t>Criança de pé</t>
  </si>
  <si>
    <t>Pessoa em pé</t>
  </si>
  <si>
    <t>BISTAFA, Sylvio R; 2018</t>
  </si>
  <si>
    <t>Pessoa sentada no chão</t>
  </si>
  <si>
    <t>Poltrona de auditório, estofada, com assento móvel levantado</t>
  </si>
  <si>
    <t>Poltrona de auditório, estofada, ocupada</t>
  </si>
  <si>
    <t>Cortina de tecido médio, drapedada, em 50% da área</t>
  </si>
  <si>
    <t>Cortina de tecido pesado, drapedada, em 50% da área</t>
  </si>
  <si>
    <t>Vidro fixo, temperado ou laminado, com grande superfície</t>
  </si>
  <si>
    <t>Vidro comum montado em caixilho</t>
  </si>
  <si>
    <t>Sonex illtec - Baffle Rondo 230 - Esp 60cm</t>
  </si>
  <si>
    <t>Sonex illtec - Baffle Rondo 150 - Esp 60cm</t>
  </si>
  <si>
    <t>Sonex illtec - Baffle Rondo 150 - Esp 40cm</t>
  </si>
  <si>
    <t>Sonex illtec - Baffle Rondo 230 - Esp 40cm</t>
  </si>
  <si>
    <r>
      <t>Assentos estofados em tecido, por m</t>
    </r>
    <r>
      <rPr>
        <vertAlign val="superscript"/>
        <sz val="11"/>
        <rFont val="Calibri"/>
        <family val="2"/>
        <scheme val="minor"/>
      </rPr>
      <t>2</t>
    </r>
  </si>
  <si>
    <r>
      <t>Assentos, capas de couro, por m</t>
    </r>
    <r>
      <rPr>
        <vertAlign val="superscript"/>
        <sz val="11"/>
        <rFont val="Calibri"/>
        <family val="2"/>
        <scheme val="minor"/>
      </rPr>
      <t>2</t>
    </r>
  </si>
  <si>
    <r>
      <t>Forro Mineral OWAPlan - NRC 0,70 - dens. 400 kg/m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</si>
  <si>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Lã de vidro 100 mm, 16 kg/m</t>
    </r>
    <r>
      <rPr>
        <vertAlign val="superscript"/>
        <sz val="11"/>
        <rFont val="Calibri"/>
        <family val="2"/>
        <scheme val="minor"/>
      </rPr>
      <t>3</t>
    </r>
  </si>
  <si>
    <r>
      <t>Lã de vidro 100 mm, 24 kg/m</t>
    </r>
    <r>
      <rPr>
        <vertAlign val="superscript"/>
        <sz val="11"/>
        <rFont val="Calibri"/>
        <family val="2"/>
        <scheme val="minor"/>
      </rPr>
      <t>3</t>
    </r>
  </si>
  <si>
    <r>
      <t>Lã de vidro 100 mm, 33 kg/m</t>
    </r>
    <r>
      <rPr>
        <vertAlign val="superscript"/>
        <sz val="11"/>
        <rFont val="Calibri"/>
        <family val="2"/>
        <scheme val="minor"/>
      </rPr>
      <t>3</t>
    </r>
  </si>
  <si>
    <r>
      <t>Lã de vidro 100 mm, 48 kg/m</t>
    </r>
    <r>
      <rPr>
        <vertAlign val="superscript"/>
        <sz val="11"/>
        <rFont val="Calibri"/>
        <family val="2"/>
        <scheme val="minor"/>
      </rPr>
      <t>3</t>
    </r>
  </si>
  <si>
    <r>
      <t>Lã de vidro 25 mm, 16 kg/m</t>
    </r>
    <r>
      <rPr>
        <vertAlign val="superscript"/>
        <sz val="11"/>
        <rFont val="Calibri"/>
        <family val="2"/>
        <scheme val="minor"/>
      </rPr>
      <t>3</t>
    </r>
  </si>
  <si>
    <r>
      <t>Lã de vidro 25 mm, 24 kg/m</t>
    </r>
    <r>
      <rPr>
        <vertAlign val="superscript"/>
        <sz val="11"/>
        <rFont val="Calibri"/>
        <family val="2"/>
        <scheme val="minor"/>
      </rPr>
      <t>3</t>
    </r>
  </si>
  <si>
    <r>
      <t>Lã de vidro 50 mm, 16 kg/m</t>
    </r>
    <r>
      <rPr>
        <vertAlign val="superscript"/>
        <sz val="11"/>
        <rFont val="Calibri"/>
        <family val="2"/>
        <scheme val="minor"/>
      </rPr>
      <t>3</t>
    </r>
  </si>
  <si>
    <r>
      <t>Lã de vidro 50 mm, 24 kg/m</t>
    </r>
    <r>
      <rPr>
        <vertAlign val="superscript"/>
        <sz val="11"/>
        <rFont val="Calibri"/>
        <family val="2"/>
        <scheme val="minor"/>
      </rPr>
      <t>3</t>
    </r>
  </si>
  <si>
    <r>
      <t>Lã de vidro 50 mm, 33 kg/m</t>
    </r>
    <r>
      <rPr>
        <vertAlign val="superscript"/>
        <sz val="11"/>
        <rFont val="Calibri"/>
        <family val="2"/>
        <scheme val="minor"/>
      </rPr>
      <t>3</t>
    </r>
  </si>
  <si>
    <r>
      <t>Lã de vidro 50 mm, 48 kg/m</t>
    </r>
    <r>
      <rPr>
        <vertAlign val="superscript"/>
        <sz val="11"/>
        <rFont val="Calibri"/>
        <family val="2"/>
        <scheme val="minor"/>
      </rPr>
      <t>3</t>
    </r>
  </si>
  <si>
    <r>
      <t>Lã de vidro 75 mm, 16 kg/m</t>
    </r>
    <r>
      <rPr>
        <vertAlign val="superscript"/>
        <sz val="11"/>
        <rFont val="Calibri"/>
        <family val="2"/>
        <scheme val="minor"/>
      </rPr>
      <t>3</t>
    </r>
  </si>
  <si>
    <r>
      <t>Lã de vidro 75 mm, 24 kg/m</t>
    </r>
    <r>
      <rPr>
        <vertAlign val="superscript"/>
        <sz val="11"/>
        <rFont val="Calibri"/>
        <family val="2"/>
        <scheme val="minor"/>
      </rPr>
      <t>3</t>
    </r>
  </si>
  <si>
    <r>
      <t>Lã de vidro 75 mm, 33 kg/m</t>
    </r>
    <r>
      <rPr>
        <vertAlign val="superscript"/>
        <sz val="11"/>
        <rFont val="Calibri"/>
        <family val="2"/>
        <scheme val="minor"/>
      </rPr>
      <t>3</t>
    </r>
  </si>
  <si>
    <r>
      <t>Lã de vidro 75 mm, 48 kg/m</t>
    </r>
    <r>
      <rPr>
        <vertAlign val="superscript"/>
        <sz val="11"/>
        <rFont val="Calibri"/>
        <family val="2"/>
        <scheme val="minor"/>
      </rPr>
      <t>3</t>
    </r>
  </si>
  <si>
    <r>
      <t>Painéis de parede de madeira acústica (</t>
    </r>
    <r>
      <rPr>
        <i/>
        <sz val="11"/>
        <rFont val="Calibri"/>
        <family val="2"/>
        <scheme val="minor"/>
      </rPr>
      <t>acoustic timber wall</t>
    </r>
    <r>
      <rPr>
        <sz val="11"/>
        <rFont val="Calibri"/>
        <family val="2"/>
        <scheme val="minor"/>
      </rPr>
      <t>)</t>
    </r>
  </si>
  <si>
    <r>
      <t>Placa Acústica Sonex illtec Perfilado 25/35, dens. 11 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25 mm de espessura</t>
    </r>
  </si>
  <si>
    <r>
      <t>Placa Acústica Sonex illtec Perfilado 35/125, dens. 11 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25 mm de espessura</t>
    </r>
  </si>
  <si>
    <r>
      <t>Placa Acústica Sonex illtec Perfilado 50/125, dens. 11 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25 mm de espessura</t>
    </r>
  </si>
  <si>
    <r>
      <t>Placa Acústica Sonex illtec Plano, dens. 11 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20 mm de espessura</t>
    </r>
  </si>
  <si>
    <r>
      <t>Placa Acústica Sonex illtec Plano, dens. 11 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25 mm de espessura</t>
    </r>
  </si>
  <si>
    <r>
      <t>Placa Acústica Sonex illtec Plano, dens. 11 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30 mm de espessura</t>
    </r>
  </si>
  <si>
    <r>
      <t>Placa Acústica Sonex illtec Plano, dens. 11 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35 mm de espessura</t>
    </r>
  </si>
  <si>
    <r>
      <t>Placa Acústica Sonex illtec Plano, dens. 11 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40 mm de espessura</t>
    </r>
  </si>
  <si>
    <r>
      <t>Placa Acústica Sonex illtec Plano, dens. 11 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45 mm de espessura</t>
    </r>
  </si>
  <si>
    <r>
      <t>Porta de madeira maciça (por 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</si>
  <si>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r>
      <t>Porta de núcleo vazio de madeira (por 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</si>
  <si>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r>
      <t>Portas de madeira, fechadas (por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</si>
  <si>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Absorção residual (A</t>
    </r>
    <r>
      <rPr>
        <sz val="8"/>
        <rFont val="Calibri"/>
        <family val="2"/>
        <scheme val="minor"/>
      </rPr>
      <t>TO</t>
    </r>
    <r>
      <rPr>
        <sz val="11"/>
        <rFont val="Calibri"/>
        <family val="2"/>
        <scheme val="minor"/>
      </rPr>
      <t xml:space="preserve"> - A</t>
    </r>
    <r>
      <rPr>
        <sz val="8"/>
        <rFont val="Calibri"/>
        <family val="2"/>
        <scheme val="minor"/>
      </rPr>
      <t>T</t>
    </r>
    <r>
      <rPr>
        <sz val="11"/>
        <rFont val="Calibri"/>
        <family val="2"/>
        <scheme val="minor"/>
      </rPr>
      <t>)</t>
    </r>
  </si>
  <si>
    <t>Ressonadores necessários</t>
  </si>
  <si>
    <t>[un.]</t>
  </si>
  <si>
    <t>Área aproximada necessária</t>
  </si>
  <si>
    <t>[m²]</t>
  </si>
  <si>
    <t>[5L]</t>
  </si>
  <si>
    <t>[500mL]</t>
  </si>
  <si>
    <t>Altura [m]:</t>
  </si>
  <si>
    <t>Largura [m]:</t>
  </si>
  <si>
    <t>Comprimento [m]:</t>
  </si>
  <si>
    <r>
      <t xml:space="preserve">TR </t>
    </r>
    <r>
      <rPr>
        <b/>
        <sz val="8"/>
        <color theme="1"/>
        <rFont val="Calibri"/>
        <family val="2"/>
        <scheme val="minor"/>
      </rPr>
      <t>Ótimo [NBR 12.179]</t>
    </r>
    <r>
      <rPr>
        <b/>
        <sz val="11"/>
        <color theme="1"/>
        <rFont val="Calibri"/>
        <family val="2"/>
        <scheme val="minor"/>
      </rPr>
      <t>:</t>
    </r>
  </si>
  <si>
    <r>
      <t xml:space="preserve">TR </t>
    </r>
    <r>
      <rPr>
        <b/>
        <sz val="8"/>
        <color theme="1"/>
        <rFont val="Calibri"/>
        <family val="2"/>
        <scheme val="minor"/>
      </rPr>
      <t>sem tratamento:</t>
    </r>
  </si>
  <si>
    <t>6. Tempo de Reverberação Sem Tratamento [s]</t>
  </si>
  <si>
    <t>7. Tempo de Reverberação Calculado [s]</t>
  </si>
  <si>
    <t>8. Tempo de Reverberação Ótimo [s]</t>
  </si>
  <si>
    <t>5. Coeficiente de absorção médio sem tratamento</t>
  </si>
  <si>
    <r>
      <t>a</t>
    </r>
    <r>
      <rPr>
        <sz val="8"/>
        <rFont val="Calibri"/>
        <family val="2"/>
        <scheme val="minor"/>
      </rPr>
      <t>mST</t>
    </r>
  </si>
  <si>
    <r>
      <t>TR</t>
    </r>
    <r>
      <rPr>
        <sz val="8"/>
        <rFont val="Calibri"/>
        <family val="2"/>
        <scheme val="minor"/>
      </rPr>
      <t>ST</t>
    </r>
  </si>
  <si>
    <r>
      <t>TR</t>
    </r>
    <r>
      <rPr>
        <sz val="8"/>
        <rFont val="Calibri"/>
        <family val="2"/>
        <scheme val="minor"/>
      </rPr>
      <t>CA</t>
    </r>
  </si>
  <si>
    <r>
      <t>TR</t>
    </r>
    <r>
      <rPr>
        <sz val="8"/>
        <rFont val="Calibri"/>
        <family val="2"/>
        <scheme val="minor"/>
      </rPr>
      <t>o</t>
    </r>
  </si>
  <si>
    <t>Superfície [m²]:</t>
  </si>
  <si>
    <r>
      <t>TR</t>
    </r>
    <r>
      <rPr>
        <b/>
        <sz val="8"/>
        <color theme="1"/>
        <rFont val="Calibri"/>
        <family val="2"/>
        <scheme val="minor"/>
      </rPr>
      <t>ST</t>
    </r>
  </si>
  <si>
    <r>
      <t>TR</t>
    </r>
    <r>
      <rPr>
        <b/>
        <sz val="8"/>
        <color theme="1"/>
        <rFont val="Calibri"/>
        <family val="2"/>
        <scheme val="minor"/>
      </rPr>
      <t>CA</t>
    </r>
  </si>
  <si>
    <t>Parede Fundo - PA1</t>
  </si>
  <si>
    <t>Parede Frente - PA1</t>
  </si>
  <si>
    <t>Parede Lat. Esq. - PA1</t>
  </si>
  <si>
    <t>Parede Lat. Dir. - PA1</t>
  </si>
  <si>
    <t>Porta - P1</t>
  </si>
  <si>
    <t>Porta de madeira maciça (por m2)</t>
  </si>
  <si>
    <t>Janelas Lat. Dir. - J1</t>
  </si>
  <si>
    <t>Piso</t>
  </si>
  <si>
    <t>Teto</t>
  </si>
  <si>
    <t>Decorações_Cortina</t>
  </si>
  <si>
    <t>Forro Mineral OWAPlan - NRC 0,70 - dens. 400 kg/m3</t>
  </si>
  <si>
    <t>A1. Absorção Acústica Ótima [m².sabin]</t>
  </si>
  <si>
    <t>A2. Coeficiente de absorção necessário</t>
  </si>
  <si>
    <t>B. Absorção Seletiva (Ressonadores)</t>
  </si>
  <si>
    <t>Cálculo de Tempo de Reverberação</t>
  </si>
  <si>
    <t>Fórmula de Sabine/Eyring</t>
  </si>
  <si>
    <r>
      <t xml:space="preserve">Essa e outras planilhas estão disponíveis em </t>
    </r>
    <r>
      <rPr>
        <b/>
        <sz val="8"/>
        <rFont val="Calibri"/>
        <family val="2"/>
        <scheme val="minor"/>
      </rPr>
      <t>aqfm.com</t>
    </r>
  </si>
  <si>
    <t>USOS [NBR 12.179]</t>
  </si>
  <si>
    <t>1. Absorção parcial devido a Superfícies - Eixo X</t>
  </si>
  <si>
    <t>Parede 01</t>
  </si>
  <si>
    <t>Parede 02</t>
  </si>
  <si>
    <t>Fórmula de Fitzroy</t>
  </si>
  <si>
    <t>2. Absorção parcial devido a Superfícies - Eixo Y</t>
  </si>
  <si>
    <t>3. Absorção parcial devido a Superfícies - Eixo Z</t>
  </si>
  <si>
    <t>Área superficial - Eixo X [m²]</t>
  </si>
  <si>
    <t>Área superficial - Eixo Z [m²]</t>
  </si>
  <si>
    <t>Área superficial - Eixo Y [m²]</t>
  </si>
  <si>
    <r>
      <rPr>
        <sz val="12"/>
        <rFont val="Calibri"/>
        <family val="2"/>
      </rPr>
      <t>α</t>
    </r>
    <r>
      <rPr>
        <sz val="8"/>
        <rFont val="Calibri"/>
        <family val="2"/>
        <scheme val="minor"/>
      </rPr>
      <t>Ex</t>
    </r>
  </si>
  <si>
    <t>4. Coeficiente de absorção médio - Eixo X</t>
  </si>
  <si>
    <t>7. Coeficiente de absorção médio - Total</t>
  </si>
  <si>
    <r>
      <rPr>
        <sz val="12"/>
        <rFont val="Calibri"/>
        <family val="2"/>
      </rPr>
      <t>α</t>
    </r>
    <r>
      <rPr>
        <sz val="8"/>
        <rFont val="Calibri"/>
        <family val="2"/>
        <scheme val="minor"/>
      </rPr>
      <t>F</t>
    </r>
  </si>
  <si>
    <t>Área superficial Total [m²]</t>
  </si>
  <si>
    <t>5. Coeficiente de absorção médio - Eixo Y</t>
  </si>
  <si>
    <t>6. Coeficiente de absorção médio - Eixo Z</t>
  </si>
  <si>
    <r>
      <rPr>
        <sz val="12"/>
        <rFont val="Calibri"/>
        <family val="2"/>
      </rPr>
      <t>α</t>
    </r>
    <r>
      <rPr>
        <sz val="8"/>
        <rFont val="Calibri"/>
        <family val="2"/>
        <scheme val="minor"/>
      </rPr>
      <t>Ez</t>
    </r>
  </si>
  <si>
    <r>
      <rPr>
        <sz val="12"/>
        <rFont val="Calibri"/>
        <family val="2"/>
      </rPr>
      <t>α</t>
    </r>
    <r>
      <rPr>
        <sz val="8"/>
        <rFont val="Calibri"/>
        <family val="2"/>
        <scheme val="minor"/>
      </rPr>
      <t>Ey</t>
    </r>
  </si>
  <si>
    <t>Absorção do ar (4.m)</t>
  </si>
  <si>
    <t>8. Coeficiente de absorção médio sem tratamento</t>
  </si>
  <si>
    <t>9. Tempo de Reverberação Sem Tratamento [s]</t>
  </si>
  <si>
    <t>10. Tempo de Reverberação Calculado [s]</t>
  </si>
  <si>
    <r>
      <t>C</t>
    </r>
    <r>
      <rPr>
        <sz val="8"/>
        <color theme="1"/>
        <rFont val="Calibri"/>
        <family val="2"/>
        <scheme val="minor"/>
      </rPr>
      <t>80_ST</t>
    </r>
    <r>
      <rPr>
        <sz val="11"/>
        <color theme="1"/>
        <rFont val="Calibri"/>
        <family val="2"/>
        <scheme val="minor"/>
      </rPr>
      <t>:</t>
    </r>
  </si>
  <si>
    <r>
      <t>C</t>
    </r>
    <r>
      <rPr>
        <sz val="8"/>
        <color theme="1"/>
        <rFont val="Calibri"/>
        <family val="2"/>
        <scheme val="minor"/>
      </rPr>
      <t>80_CA</t>
    </r>
    <r>
      <rPr>
        <sz val="11"/>
        <color theme="1"/>
        <rFont val="Calibri"/>
        <family val="2"/>
        <scheme val="minor"/>
      </rPr>
      <t>:</t>
    </r>
  </si>
  <si>
    <r>
      <t>C</t>
    </r>
    <r>
      <rPr>
        <sz val="8"/>
        <color theme="1"/>
        <rFont val="Calibri"/>
        <family val="2"/>
        <scheme val="minor"/>
      </rPr>
      <t>50_ST</t>
    </r>
    <r>
      <rPr>
        <sz val="11"/>
        <color theme="1"/>
        <rFont val="Calibri"/>
        <family val="2"/>
        <scheme val="minor"/>
      </rPr>
      <t>:</t>
    </r>
  </si>
  <si>
    <r>
      <t>C</t>
    </r>
    <r>
      <rPr>
        <sz val="8"/>
        <color theme="1"/>
        <rFont val="Calibri"/>
        <family val="2"/>
        <scheme val="minor"/>
      </rPr>
      <t>50_CA</t>
    </r>
    <r>
      <rPr>
        <sz val="11"/>
        <color theme="1"/>
        <rFont val="Calibri"/>
        <family val="2"/>
        <scheme val="minor"/>
      </rPr>
      <t>:</t>
    </r>
  </si>
  <si>
    <r>
      <t>D</t>
    </r>
    <r>
      <rPr>
        <sz val="8"/>
        <color theme="1"/>
        <rFont val="Calibri"/>
        <family val="2"/>
        <scheme val="minor"/>
      </rPr>
      <t>50_ST</t>
    </r>
    <r>
      <rPr>
        <sz val="11"/>
        <color theme="1"/>
        <rFont val="Calibri"/>
        <family val="2"/>
        <scheme val="minor"/>
      </rPr>
      <t>:</t>
    </r>
  </si>
  <si>
    <r>
      <t>D</t>
    </r>
    <r>
      <rPr>
        <sz val="8"/>
        <color theme="1"/>
        <rFont val="Calibri"/>
        <family val="2"/>
        <scheme val="minor"/>
      </rPr>
      <t>50_CA</t>
    </r>
    <r>
      <rPr>
        <sz val="11"/>
        <color theme="1"/>
        <rFont val="Calibri"/>
        <family val="2"/>
        <scheme val="minor"/>
      </rPr>
      <t>:</t>
    </r>
  </si>
  <si>
    <t>RG:</t>
  </si>
  <si>
    <t>RA:</t>
  </si>
  <si>
    <t>10. Razão de Agudos:</t>
  </si>
  <si>
    <t>9. Razão de Graves:</t>
  </si>
  <si>
    <t>11. Claridade [dB]:</t>
  </si>
  <si>
    <t>r [m] =</t>
  </si>
  <si>
    <t>13. Fator de força:</t>
  </si>
  <si>
    <t>12. Definição:</t>
  </si>
  <si>
    <r>
      <t>G</t>
    </r>
    <r>
      <rPr>
        <sz val="8"/>
        <color theme="1"/>
        <rFont val="Calibri"/>
        <family val="2"/>
        <scheme val="minor"/>
      </rPr>
      <t>500Hz</t>
    </r>
    <r>
      <rPr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</si>
</sst>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59595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</font>
    <font>
      <sz val="11"/>
      <color theme="4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EEEEEE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theme="4" tint="0.59999389629810485"/>
        <bgColor theme="0" tint="-0.1499984740745262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0F3FA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2" fontId="0" fillId="0" borderId="19" xfId="0" applyNumberFormat="1" applyFont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/>
    </xf>
    <xf numFmtId="2" fontId="0" fillId="2" borderId="19" xfId="0" applyNumberFormat="1" applyFont="1" applyFill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2" fontId="0" fillId="0" borderId="27" xfId="1" applyNumberFormat="1" applyFont="1" applyBorder="1" applyAlignment="1">
      <alignment horizontal="center" vertical="center"/>
    </xf>
    <xf numFmtId="2" fontId="0" fillId="0" borderId="15" xfId="1" applyNumberFormat="1" applyFont="1" applyBorder="1" applyAlignment="1">
      <alignment horizontal="center" vertical="center"/>
    </xf>
    <xf numFmtId="2" fontId="0" fillId="0" borderId="28" xfId="1" applyNumberFormat="1" applyFont="1" applyBorder="1" applyAlignment="1">
      <alignment horizontal="center" vertical="center"/>
    </xf>
    <xf numFmtId="2" fontId="0" fillId="0" borderId="9" xfId="1" applyNumberFormat="1" applyFont="1" applyBorder="1" applyAlignment="1">
      <alignment horizontal="center" vertical="center"/>
    </xf>
    <xf numFmtId="2" fontId="0" fillId="0" borderId="0" xfId="1" applyNumberFormat="1" applyFont="1" applyBorder="1" applyAlignment="1">
      <alignment horizontal="center" vertical="center"/>
    </xf>
    <xf numFmtId="2" fontId="0" fillId="0" borderId="10" xfId="1" applyNumberFormat="1" applyFont="1" applyBorder="1" applyAlignment="1">
      <alignment horizontal="center" vertical="center"/>
    </xf>
    <xf numFmtId="2" fontId="0" fillId="0" borderId="22" xfId="1" applyNumberFormat="1" applyFont="1" applyBorder="1" applyAlignment="1">
      <alignment horizontal="center" vertical="center"/>
    </xf>
    <xf numFmtId="2" fontId="0" fillId="0" borderId="17" xfId="1" applyNumberFormat="1" applyFont="1" applyBorder="1" applyAlignment="1">
      <alignment horizontal="center" vertical="center"/>
    </xf>
    <xf numFmtId="2" fontId="0" fillId="0" borderId="21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shrinkToFit="1"/>
    </xf>
    <xf numFmtId="0" fontId="12" fillId="0" borderId="0" xfId="0" applyFont="1" applyFill="1"/>
    <xf numFmtId="0" fontId="0" fillId="6" borderId="9" xfId="0" applyFont="1" applyFill="1" applyBorder="1" applyAlignment="1" applyProtection="1">
      <alignment horizontal="center" vertical="center"/>
      <protection locked="0"/>
    </xf>
    <xf numFmtId="0" fontId="0" fillId="8" borderId="9" xfId="0" applyFont="1" applyFill="1" applyBorder="1" applyAlignment="1" applyProtection="1">
      <alignment horizontal="center" vertical="center"/>
      <protection locked="0"/>
    </xf>
    <xf numFmtId="2" fontId="0" fillId="0" borderId="0" xfId="0" applyNumberFormat="1" applyBorder="1" applyAlignment="1">
      <alignment horizontal="center" vertical="center"/>
    </xf>
    <xf numFmtId="2" fontId="0" fillId="9" borderId="38" xfId="0" applyNumberFormat="1" applyFill="1" applyBorder="1" applyAlignment="1">
      <alignment horizontal="center" vertical="center"/>
    </xf>
    <xf numFmtId="2" fontId="0" fillId="9" borderId="30" xfId="0" applyNumberFormat="1" applyFill="1" applyBorder="1" applyAlignment="1">
      <alignment horizontal="center" vertical="center"/>
    </xf>
    <xf numFmtId="2" fontId="0" fillId="9" borderId="37" xfId="0" applyNumberForma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0" fillId="6" borderId="37" xfId="0" applyFill="1" applyBorder="1" applyAlignment="1" applyProtection="1">
      <alignment horizontal="center" vertical="center"/>
      <protection locked="0"/>
    </xf>
    <xf numFmtId="0" fontId="0" fillId="8" borderId="19" xfId="0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2" fontId="0" fillId="0" borderId="9" xfId="0" applyNumberFormat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39" xfId="0" applyNumberFormat="1" applyBorder="1" applyAlignment="1">
      <alignment horizontal="center" vertical="center" shrinkToFit="1"/>
    </xf>
    <xf numFmtId="0" fontId="0" fillId="0" borderId="40" xfId="0" applyNumberFormat="1" applyBorder="1" applyAlignment="1">
      <alignment horizontal="center" vertical="center" shrinkToFit="1"/>
    </xf>
    <xf numFmtId="0" fontId="0" fillId="0" borderId="0" xfId="0" applyFont="1"/>
    <xf numFmtId="0" fontId="14" fillId="12" borderId="29" xfId="0" applyFont="1" applyFill="1" applyBorder="1" applyAlignment="1">
      <alignment horizontal="center" vertical="center"/>
    </xf>
    <xf numFmtId="0" fontId="14" fillId="11" borderId="19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2" fontId="0" fillId="6" borderId="19" xfId="0" applyNumberFormat="1" applyFill="1" applyBorder="1" applyAlignment="1" applyProtection="1">
      <alignment horizontal="center" vertical="center"/>
      <protection locked="0"/>
    </xf>
    <xf numFmtId="2" fontId="0" fillId="5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24" xfId="0" applyBorder="1" applyAlignment="1">
      <alignment vertical="center"/>
    </xf>
    <xf numFmtId="0" fontId="0" fillId="0" borderId="18" xfId="0" applyBorder="1" applyAlignment="1">
      <alignment vertical="center"/>
    </xf>
    <xf numFmtId="0" fontId="13" fillId="11" borderId="41" xfId="0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0" fontId="13" fillId="13" borderId="0" xfId="0" applyFont="1" applyFill="1" applyAlignment="1">
      <alignment vertical="center"/>
    </xf>
    <xf numFmtId="0" fontId="14" fillId="11" borderId="0" xfId="0" applyFont="1" applyFill="1" applyAlignment="1">
      <alignment vertical="center"/>
    </xf>
    <xf numFmtId="0" fontId="0" fillId="0" borderId="10" xfId="0" applyBorder="1" applyAlignment="1">
      <alignment vertical="center"/>
    </xf>
    <xf numFmtId="0" fontId="13" fillId="11" borderId="0" xfId="0" applyFont="1" applyFill="1" applyAlignment="1">
      <alignment vertical="center"/>
    </xf>
    <xf numFmtId="0" fontId="11" fillId="7" borderId="0" xfId="0" applyFont="1" applyFill="1" applyAlignment="1" applyProtection="1">
      <alignment vertical="center"/>
      <protection locked="0"/>
    </xf>
    <xf numFmtId="0" fontId="0" fillId="6" borderId="9" xfId="0" applyFill="1" applyBorder="1" applyAlignment="1" applyProtection="1">
      <alignment vertical="center"/>
      <protection locked="0"/>
    </xf>
    <xf numFmtId="0" fontId="11" fillId="6" borderId="0" xfId="0" applyFont="1" applyFill="1" applyAlignment="1" applyProtection="1">
      <alignment vertical="center"/>
      <protection locked="0"/>
    </xf>
    <xf numFmtId="0" fontId="0" fillId="5" borderId="9" xfId="0" applyFill="1" applyBorder="1" applyAlignment="1" applyProtection="1">
      <alignment vertical="center"/>
      <protection locked="0"/>
    </xf>
    <xf numFmtId="0" fontId="11" fillId="6" borderId="0" xfId="0" applyFont="1" applyFill="1" applyBorder="1" applyAlignment="1" applyProtection="1">
      <alignment vertical="center"/>
      <protection locked="0"/>
    </xf>
    <xf numFmtId="0" fontId="11" fillId="7" borderId="0" xfId="0" applyFont="1" applyFill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0" fillId="0" borderId="0" xfId="0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0" fillId="8" borderId="0" xfId="0" applyFill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6" borderId="0" xfId="0" applyFont="1" applyFill="1" applyBorder="1" applyAlignment="1" applyProtection="1">
      <alignment vertical="center"/>
      <protection locked="0"/>
    </xf>
    <xf numFmtId="0" fontId="0" fillId="8" borderId="0" xfId="0" applyFont="1" applyFill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4" fillId="3" borderId="36" xfId="0" applyFont="1" applyFill="1" applyBorder="1" applyAlignment="1">
      <alignment vertical="center"/>
    </xf>
    <xf numFmtId="2" fontId="4" fillId="3" borderId="30" xfId="0" applyNumberFormat="1" applyFont="1" applyFill="1" applyBorder="1" applyAlignment="1">
      <alignment horizontal="center" vertical="center"/>
    </xf>
    <xf numFmtId="2" fontId="4" fillId="3" borderId="37" xfId="0" applyNumberFormat="1" applyFont="1" applyFill="1" applyBorder="1" applyAlignment="1">
      <alignment horizontal="center" vertical="center"/>
    </xf>
    <xf numFmtId="9" fontId="4" fillId="3" borderId="30" xfId="3" applyFont="1" applyFill="1" applyBorder="1" applyAlignment="1">
      <alignment horizontal="center" vertical="center"/>
    </xf>
    <xf numFmtId="9" fontId="4" fillId="3" borderId="37" xfId="3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28" xfId="0" applyFont="1" applyFill="1" applyBorder="1" applyAlignment="1">
      <alignment vertical="center"/>
    </xf>
    <xf numFmtId="2" fontId="4" fillId="3" borderId="15" xfId="0" applyNumberFormat="1" applyFont="1" applyFill="1" applyBorder="1" applyAlignment="1">
      <alignment horizontal="center" vertical="center"/>
    </xf>
    <xf numFmtId="2" fontId="4" fillId="3" borderId="32" xfId="0" applyNumberFormat="1" applyFont="1" applyFill="1" applyBorder="1" applyAlignment="1">
      <alignment horizontal="center" vertical="center"/>
    </xf>
    <xf numFmtId="0" fontId="0" fillId="9" borderId="23" xfId="0" applyFill="1" applyBorder="1" applyAlignment="1">
      <alignment horizontal="right" vertical="center"/>
    </xf>
    <xf numFmtId="0" fontId="0" fillId="9" borderId="3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10" borderId="23" xfId="0" applyFont="1" applyFill="1" applyBorder="1" applyAlignment="1">
      <alignment horizontal="right" vertical="center"/>
    </xf>
    <xf numFmtId="0" fontId="4" fillId="10" borderId="23" xfId="0" applyFont="1" applyFill="1" applyBorder="1" applyAlignment="1">
      <alignment horizontal="right" vertical="center"/>
    </xf>
    <xf numFmtId="0" fontId="4" fillId="10" borderId="36" xfId="0" applyFont="1" applyFill="1" applyBorder="1" applyAlignment="1">
      <alignment vertical="center"/>
    </xf>
    <xf numFmtId="2" fontId="4" fillId="10" borderId="30" xfId="0" applyNumberFormat="1" applyFont="1" applyFill="1" applyBorder="1" applyAlignment="1">
      <alignment horizontal="center" vertical="center"/>
    </xf>
    <xf numFmtId="2" fontId="4" fillId="10" borderId="25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5" fillId="0" borderId="1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/>
    <xf numFmtId="0" fontId="0" fillId="0" borderId="7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" fillId="14" borderId="14" xfId="0" applyFont="1" applyFill="1" applyBorder="1" applyAlignment="1">
      <alignment horizontal="center" vertical="center"/>
    </xf>
    <xf numFmtId="0" fontId="2" fillId="14" borderId="29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10" borderId="30" xfId="0" applyFont="1" applyFill="1" applyBorder="1" applyAlignment="1">
      <alignment vertical="center"/>
    </xf>
    <xf numFmtId="2" fontId="4" fillId="14" borderId="23" xfId="0" applyNumberFormat="1" applyFont="1" applyFill="1" applyBorder="1" applyAlignment="1">
      <alignment horizontal="center" vertical="center"/>
    </xf>
    <xf numFmtId="2" fontId="4" fillId="14" borderId="24" xfId="0" applyNumberFormat="1" applyFont="1" applyFill="1" applyBorder="1" applyAlignment="1">
      <alignment horizontal="center" vertical="center"/>
    </xf>
    <xf numFmtId="0" fontId="0" fillId="10" borderId="16" xfId="0" applyFill="1" applyBorder="1" applyAlignment="1">
      <alignment horizontal="right" vertical="center"/>
    </xf>
    <xf numFmtId="0" fontId="0" fillId="10" borderId="17" xfId="0" applyFill="1" applyBorder="1" applyAlignment="1">
      <alignment horizontal="center" vertical="center"/>
    </xf>
    <xf numFmtId="1" fontId="2" fillId="14" borderId="23" xfId="0" applyNumberFormat="1" applyFont="1" applyFill="1" applyBorder="1" applyAlignment="1">
      <alignment horizontal="center" vertical="center"/>
    </xf>
    <xf numFmtId="1" fontId="2" fillId="14" borderId="24" xfId="0" applyNumberFormat="1" applyFont="1" applyFill="1" applyBorder="1" applyAlignment="1">
      <alignment horizontal="center" vertical="center"/>
    </xf>
    <xf numFmtId="1" fontId="0" fillId="10" borderId="30" xfId="0" applyNumberFormat="1" applyFill="1" applyBorder="1" applyAlignment="1">
      <alignment horizontal="center" vertical="center"/>
    </xf>
    <xf numFmtId="1" fontId="0" fillId="10" borderId="25" xfId="0" applyNumberFormat="1" applyFill="1" applyBorder="1" applyAlignment="1">
      <alignment horizontal="center" vertical="center"/>
    </xf>
    <xf numFmtId="0" fontId="0" fillId="10" borderId="23" xfId="0" applyFill="1" applyBorder="1" applyAlignment="1">
      <alignment horizontal="right" vertical="center"/>
    </xf>
    <xf numFmtId="0" fontId="0" fillId="10" borderId="30" xfId="0" applyFill="1" applyBorder="1" applyAlignment="1">
      <alignment horizontal="center" vertical="center"/>
    </xf>
    <xf numFmtId="2" fontId="0" fillId="14" borderId="23" xfId="0" applyNumberFormat="1" applyFill="1" applyBorder="1" applyAlignment="1">
      <alignment horizontal="center" vertical="center"/>
    </xf>
    <xf numFmtId="2" fontId="0" fillId="14" borderId="37" xfId="0" applyNumberForma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6" borderId="1" xfId="0" applyFill="1" applyBorder="1" applyAlignment="1" applyProtection="1">
      <alignment horizontal="center" vertical="center"/>
      <protection locked="0"/>
    </xf>
    <xf numFmtId="0" fontId="2" fillId="15" borderId="1" xfId="0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2" fontId="4" fillId="6" borderId="30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0" fontId="0" fillId="10" borderId="1" xfId="0" applyFill="1" applyBorder="1" applyAlignment="1" applyProtection="1">
      <alignment horizontal="center" vertical="center"/>
    </xf>
    <xf numFmtId="2" fontId="0" fillId="10" borderId="1" xfId="0" applyNumberForma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5" fillId="0" borderId="0" xfId="4" applyFont="1" applyAlignment="1"/>
    <xf numFmtId="0" fontId="0" fillId="0" borderId="46" xfId="0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2" fontId="0" fillId="2" borderId="27" xfId="1" applyNumberFormat="1" applyFont="1" applyFill="1" applyBorder="1" applyAlignment="1">
      <alignment horizontal="center" vertical="center"/>
    </xf>
    <xf numFmtId="2" fontId="0" fillId="2" borderId="15" xfId="1" applyNumberFormat="1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 shrinkToFit="1"/>
    </xf>
    <xf numFmtId="2" fontId="0" fillId="2" borderId="9" xfId="1" applyNumberFormat="1" applyFont="1" applyFill="1" applyBorder="1" applyAlignment="1">
      <alignment horizontal="center" vertical="center"/>
    </xf>
    <xf numFmtId="2" fontId="0" fillId="2" borderId="0" xfId="1" applyNumberFormat="1" applyFont="1" applyFill="1" applyBorder="1" applyAlignment="1">
      <alignment horizontal="center" vertical="center"/>
    </xf>
    <xf numFmtId="0" fontId="0" fillId="5" borderId="44" xfId="0" applyFont="1" applyFill="1" applyBorder="1" applyAlignment="1">
      <alignment vertical="center"/>
    </xf>
    <xf numFmtId="0" fontId="14" fillId="11" borderId="44" xfId="0" applyFont="1" applyFill="1" applyBorder="1" applyAlignment="1">
      <alignment vertical="center"/>
    </xf>
    <xf numFmtId="0" fontId="14" fillId="11" borderId="16" xfId="0" applyFont="1" applyFill="1" applyBorder="1" applyAlignment="1">
      <alignment vertical="center"/>
    </xf>
    <xf numFmtId="0" fontId="0" fillId="5" borderId="14" xfId="0" applyFont="1" applyFill="1" applyBorder="1" applyAlignment="1">
      <alignment vertical="center"/>
    </xf>
    <xf numFmtId="2" fontId="0" fillId="16" borderId="9" xfId="1" applyNumberFormat="1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2" fontId="0" fillId="16" borderId="0" xfId="1" applyNumberFormat="1" applyFont="1" applyFill="1" applyBorder="1" applyAlignment="1">
      <alignment horizontal="center" vertical="center"/>
    </xf>
    <xf numFmtId="0" fontId="14" fillId="12" borderId="27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14" fillId="11" borderId="22" xfId="0" applyFont="1" applyFill="1" applyBorder="1" applyAlignment="1">
      <alignment horizontal="center" vertical="center"/>
    </xf>
    <xf numFmtId="0" fontId="0" fillId="16" borderId="39" xfId="0" applyFont="1" applyFill="1" applyBorder="1" applyAlignment="1">
      <alignment horizontal="center" vertical="center" shrinkToFit="1"/>
    </xf>
    <xf numFmtId="0" fontId="0" fillId="2" borderId="39" xfId="0" applyFont="1" applyFill="1" applyBorder="1" applyAlignment="1">
      <alignment horizontal="center" vertical="center" shrinkToFit="1"/>
    </xf>
    <xf numFmtId="0" fontId="0" fillId="16" borderId="40" xfId="0" applyFont="1" applyFill="1" applyBorder="1" applyAlignment="1">
      <alignment horizontal="center" vertical="center" shrinkToFit="1"/>
    </xf>
    <xf numFmtId="2" fontId="0" fillId="2" borderId="29" xfId="0" applyNumberFormat="1" applyFont="1" applyFill="1" applyBorder="1" applyAlignment="1">
      <alignment horizontal="center" vertical="center"/>
    </xf>
    <xf numFmtId="2" fontId="0" fillId="0" borderId="20" xfId="0" applyNumberFormat="1" applyFont="1" applyBorder="1" applyAlignment="1">
      <alignment horizontal="center" vertical="center"/>
    </xf>
    <xf numFmtId="2" fontId="0" fillId="16" borderId="22" xfId="1" applyNumberFormat="1" applyFont="1" applyFill="1" applyBorder="1" applyAlignment="1">
      <alignment horizontal="center" vertical="center"/>
    </xf>
    <xf numFmtId="2" fontId="0" fillId="16" borderId="17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0" fillId="0" borderId="47" xfId="0" applyBorder="1" applyAlignment="1">
      <alignment horizontal="right" vertical="center"/>
    </xf>
    <xf numFmtId="0" fontId="0" fillId="0" borderId="47" xfId="0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2" fontId="0" fillId="0" borderId="47" xfId="1" applyNumberFormat="1" applyFont="1" applyBorder="1" applyAlignment="1">
      <alignment horizontal="center" vertical="center"/>
    </xf>
    <xf numFmtId="0" fontId="0" fillId="0" borderId="47" xfId="0" applyFont="1" applyBorder="1" applyAlignment="1">
      <alignment horizontal="right" vertical="center"/>
    </xf>
    <xf numFmtId="0" fontId="0" fillId="0" borderId="47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center"/>
    </xf>
    <xf numFmtId="0" fontId="0" fillId="6" borderId="3" xfId="0" applyFill="1" applyBorder="1" applyAlignment="1" applyProtection="1">
      <alignment horizontal="left" vertical="center"/>
      <protection locked="0"/>
    </xf>
    <xf numFmtId="0" fontId="0" fillId="6" borderId="2" xfId="0" applyFill="1" applyBorder="1" applyAlignment="1" applyProtection="1">
      <alignment horizontal="left" vertical="center"/>
      <protection locked="0"/>
    </xf>
    <xf numFmtId="0" fontId="0" fillId="0" borderId="45" xfId="0" applyBorder="1" applyAlignment="1">
      <alignment horizontal="center" vertical="center" textRotation="90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left" vertical="center"/>
    </xf>
    <xf numFmtId="2" fontId="0" fillId="0" borderId="47" xfId="0" applyNumberFormat="1" applyBorder="1" applyAlignment="1">
      <alignment horizontal="left" vertical="center"/>
    </xf>
    <xf numFmtId="0" fontId="0" fillId="0" borderId="48" xfId="0" applyBorder="1" applyAlignment="1">
      <alignment horizontal="right" vertical="center"/>
    </xf>
    <xf numFmtId="2" fontId="0" fillId="0" borderId="48" xfId="0" applyNumberForma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0" fillId="0" borderId="49" xfId="0" applyBorder="1" applyAlignment="1">
      <alignment horizontal="right" vertical="center"/>
    </xf>
    <xf numFmtId="2" fontId="0" fillId="0" borderId="49" xfId="0" applyNumberFormat="1" applyBorder="1" applyAlignment="1">
      <alignment horizontal="left" vertical="center"/>
    </xf>
    <xf numFmtId="2" fontId="24" fillId="0" borderId="49" xfId="0" applyNumberFormat="1" applyFont="1" applyBorder="1" applyAlignment="1">
      <alignment horizontal="left" vertical="center"/>
    </xf>
  </cellXfs>
  <cellStyles count="5">
    <cellStyle name="Hiperlink" xfId="4" builtinId="8"/>
    <cellStyle name="Normal" xfId="0" builtinId="0"/>
    <cellStyle name="Normal 2" xfId="2" xr:uid="{947FF9A2-5868-4221-A35D-98D433B582BB}"/>
    <cellStyle name="Porcentagem" xfId="3" builtinId="5"/>
    <cellStyle name="Vírgula" xfId="1" builtinId="3"/>
  </cellStyles>
  <dxfs count="9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</border>
    </dxf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</border>
    </dxf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readingOrder="0"/>
    </dxf>
    <dxf>
      <border>
        <bottom style="thin">
          <color indexed="64"/>
        </bottom>
      </border>
    </dxf>
    <dxf>
      <alignment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Calibri"/>
        <family val="2"/>
        <scheme val="minor"/>
      </font>
      <alignment vertical="center" textRotation="0" wrapText="0" indent="0" justifyLastLine="0" readingOrder="0"/>
      <protection locked="0" hidden="0"/>
    </dxf>
    <dxf>
      <border diagonalUp="0" diagonalDown="0">
        <left style="medium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595959"/>
        <name val="Calibri"/>
        <family val="2"/>
        <scheme val="none"/>
      </font>
      <alignment vertical="center" textRotation="0" wrapText="0" indent="0" justifyLastLine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Calibri"/>
        <family val="2"/>
        <scheme val="minor"/>
      </font>
      <alignment vertical="center" textRotation="0" wrapText="0" indent="0" justifyLastLine="0" readingOrder="0"/>
      <protection locked="0" hidden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vertical="center" textRotation="0" wrapText="0" indent="0" justifyLastLine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vertical="center" textRotation="0" wrapText="0" indent="0" justifyLastLine="0" readingOrder="0"/>
    </dxf>
    <dxf>
      <border outline="0">
        <bottom style="medium">
          <color rgb="FF000000"/>
        </bottom>
      </border>
    </dxf>
    <dxf>
      <alignment vertical="center" textRotation="0" wrapText="0" indent="0" justifyLastLine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4" tint="0.79998168889431442"/>
        </patternFill>
      </fill>
      <alignment vertical="center" textRotation="0" wrapText="0" indent="0" justifyLastLine="0" readingOrder="0"/>
      <protection locked="0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center" textRotation="0" wrapText="0" indent="0" justifyLastLine="0" shrinkToFit="0" readingOrder="0"/>
    </dxf>
    <dxf>
      <alignment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readingOrder="0"/>
    </dxf>
    <dxf>
      <alignment vertical="center" textRotation="0" wrapText="0" indent="0" justifyLastLine="0" readingOrder="0"/>
    </dxf>
    <dxf>
      <border>
        <bottom style="medium">
          <color rgb="FF000000"/>
        </bottom>
      </border>
    </dxf>
    <dxf>
      <alignment vertical="center" textRotation="0" wrapText="0" indent="0" justifyLastLine="0" readingOrder="0"/>
    </dxf>
  </dxfs>
  <tableStyles count="0" defaultTableStyle="TableStyleMedium2" defaultPivotStyle="PivotStyleLight16"/>
  <colors>
    <mruColors>
      <color rgb="FFF0F3FA"/>
      <color rgb="FFFFEBEB"/>
      <color rgb="FFFF8F8F"/>
      <color rgb="FFE0E0E0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04338358477533"/>
          <c:y val="3.8707614538657599E-2"/>
          <c:w val="0.81825128529787761"/>
          <c:h val="0.80384872440866573"/>
        </c:manualLayout>
      </c:layout>
      <c:lineChart>
        <c:grouping val="standard"/>
        <c:varyColors val="0"/>
        <c:ser>
          <c:idx val="0"/>
          <c:order val="0"/>
          <c:tx>
            <c:v>TR_o</c:v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CALC_TR_SABINE!$E$75:$J$75</c:f>
              <c:strCache>
                <c:ptCount val="6"/>
                <c:pt idx="0">
                  <c:v>125 Hz</c:v>
                </c:pt>
                <c:pt idx="1">
                  <c:v>250 Hz</c:v>
                </c:pt>
                <c:pt idx="2">
                  <c:v>500 Hz</c:v>
                </c:pt>
                <c:pt idx="3">
                  <c:v>1000 Hz</c:v>
                </c:pt>
                <c:pt idx="4">
                  <c:v>2000 Hz</c:v>
                </c:pt>
                <c:pt idx="5">
                  <c:v>4000 Hz</c:v>
                </c:pt>
              </c:strCache>
            </c:strRef>
          </c:cat>
          <c:val>
            <c:numRef>
              <c:f>CALC_TR_SABINE!$E$76:$J$76</c:f>
              <c:numCache>
                <c:formatCode>0.00</c:formatCode>
                <c:ptCount val="6"/>
                <c:pt idx="0">
                  <c:v>1.26940224</c:v>
                </c:pt>
                <c:pt idx="1">
                  <c:v>1.0225740266666667</c:v>
                </c:pt>
                <c:pt idx="2">
                  <c:v>0.70522346666666669</c:v>
                </c:pt>
                <c:pt idx="3">
                  <c:v>0.70522346666666669</c:v>
                </c:pt>
                <c:pt idx="4">
                  <c:v>0.70522346666666669</c:v>
                </c:pt>
                <c:pt idx="5">
                  <c:v>0.70522346666666669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5-451F-BA07-B797C054A1E9}"/>
            </c:ext>
          </c:extLst>
        </c:ser>
        <c:ser>
          <c:idx val="1"/>
          <c:order val="1"/>
          <c:tx>
            <c:v>TR_CA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CALC_TR_SABINE!$E$75:$J$75</c:f>
              <c:strCache>
                <c:ptCount val="6"/>
                <c:pt idx="0">
                  <c:v>125 Hz</c:v>
                </c:pt>
                <c:pt idx="1">
                  <c:v>250 Hz</c:v>
                </c:pt>
                <c:pt idx="2">
                  <c:v>500 Hz</c:v>
                </c:pt>
                <c:pt idx="3">
                  <c:v>1000 Hz</c:v>
                </c:pt>
                <c:pt idx="4">
                  <c:v>2000 Hz</c:v>
                </c:pt>
                <c:pt idx="5">
                  <c:v>4000 Hz</c:v>
                </c:pt>
              </c:strCache>
            </c:strRef>
          </c:cat>
          <c:val>
            <c:numRef>
              <c:f>CALC_TR_SABINE!$E$72:$J$72</c:f>
              <c:numCache>
                <c:formatCode>0.00</c:formatCode>
                <c:ptCount val="6"/>
                <c:pt idx="0">
                  <c:v>1.5469386969492833</c:v>
                </c:pt>
                <c:pt idx="1">
                  <c:v>1.2231197686805664</c:v>
                </c:pt>
                <c:pt idx="2">
                  <c:v>0.85460364719017501</c:v>
                </c:pt>
                <c:pt idx="3">
                  <c:v>0.6710041535346789</c:v>
                </c:pt>
                <c:pt idx="4">
                  <c:v>0.65016957790572805</c:v>
                </c:pt>
                <c:pt idx="5">
                  <c:v>0.59340376990719201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5-451F-BA07-B797C054A1E9}"/>
            </c:ext>
          </c:extLst>
        </c:ser>
        <c:ser>
          <c:idx val="2"/>
          <c:order val="2"/>
          <c:tx>
            <c:v>TR_ST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CALC_TR_SABINE!$E$68:$J$68</c:f>
              <c:numCache>
                <c:formatCode>0.00</c:formatCode>
                <c:ptCount val="6"/>
                <c:pt idx="0">
                  <c:v>5.5566371681415934</c:v>
                </c:pt>
                <c:pt idx="1">
                  <c:v>8.0823813354786811</c:v>
                </c:pt>
                <c:pt idx="2">
                  <c:v>8.8906194690265483</c:v>
                </c:pt>
                <c:pt idx="3">
                  <c:v>7.4088495575221245</c:v>
                </c:pt>
                <c:pt idx="4">
                  <c:v>4.5541251133272898</c:v>
                </c:pt>
                <c:pt idx="5">
                  <c:v>2.0407068860450948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E5-451F-BA07-B797C054A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1045248"/>
        <c:axId val="271048160"/>
      </c:lineChart>
      <c:catAx>
        <c:axId val="27104524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Banda</a:t>
                </a:r>
                <a:r>
                  <a:rPr lang="pt-BR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de Oitava </a:t>
                </a:r>
                <a:r>
                  <a:rPr lang="pt-BR" sz="10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/>
                  </a:rPr>
                  <a:t>1/1 </a:t>
                </a:r>
                <a:endParaRPr lang="pt-BR">
                  <a:solidFill>
                    <a:schemeClr val="tx1">
                      <a:lumMod val="75000"/>
                      <a:lumOff val="2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0.42498971650824729"/>
              <c:y val="0.92361073228260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048160"/>
        <c:crosses val="autoZero"/>
        <c:auto val="1"/>
        <c:lblAlgn val="ctr"/>
        <c:lblOffset val="100"/>
        <c:noMultiLvlLbl val="0"/>
      </c:catAx>
      <c:valAx>
        <c:axId val="27104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Tempo de Reverberação [s]</a:t>
                </a:r>
              </a:p>
            </c:rich>
          </c:tx>
          <c:layout>
            <c:manualLayout>
              <c:xMode val="edge"/>
              <c:yMode val="edge"/>
              <c:x val="1.5980601620301332E-2"/>
              <c:y val="0.18247671086064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04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95058894850519"/>
          <c:y val="5.3542300883680699E-2"/>
          <c:w val="0.15684734820138316"/>
          <c:h val="0.23409647902426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04338358477533"/>
          <c:y val="3.8707614538657599E-2"/>
          <c:w val="0.81825128529787761"/>
          <c:h val="0.80384872440866573"/>
        </c:manualLayout>
      </c:layout>
      <c:lineChart>
        <c:grouping val="standard"/>
        <c:varyColors val="0"/>
        <c:ser>
          <c:idx val="0"/>
          <c:order val="0"/>
          <c:tx>
            <c:v>TR_o</c:v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CALC_TR_FITZROY!$F$88:$K$88</c:f>
              <c:strCache>
                <c:ptCount val="6"/>
                <c:pt idx="0">
                  <c:v>125 Hz</c:v>
                </c:pt>
                <c:pt idx="1">
                  <c:v>250 Hz</c:v>
                </c:pt>
                <c:pt idx="2">
                  <c:v>500 Hz</c:v>
                </c:pt>
                <c:pt idx="3">
                  <c:v>1000 Hz</c:v>
                </c:pt>
                <c:pt idx="4">
                  <c:v>2000 Hz</c:v>
                </c:pt>
                <c:pt idx="5">
                  <c:v>4000 Hz</c:v>
                </c:pt>
              </c:strCache>
            </c:strRef>
          </c:cat>
          <c:val>
            <c:numRef>
              <c:f>CALC_TR_FITZROY!$F$89:$K$89</c:f>
              <c:numCache>
                <c:formatCode>0.00</c:formatCode>
                <c:ptCount val="6"/>
                <c:pt idx="0">
                  <c:v>1.26940224</c:v>
                </c:pt>
                <c:pt idx="1">
                  <c:v>1.0225740266666667</c:v>
                </c:pt>
                <c:pt idx="2">
                  <c:v>0.70522346666666669</c:v>
                </c:pt>
                <c:pt idx="3">
                  <c:v>0.70522346666666669</c:v>
                </c:pt>
                <c:pt idx="4">
                  <c:v>0.70522346666666669</c:v>
                </c:pt>
                <c:pt idx="5">
                  <c:v>0.70522346666666669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F-4596-B13F-5B0AA7BAEB24}"/>
            </c:ext>
          </c:extLst>
        </c:ser>
        <c:ser>
          <c:idx val="1"/>
          <c:order val="1"/>
          <c:tx>
            <c:v>TR_CA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CALC_TR_FITZROY!$F$88:$K$88</c:f>
              <c:strCache>
                <c:ptCount val="6"/>
                <c:pt idx="0">
                  <c:v>125 Hz</c:v>
                </c:pt>
                <c:pt idx="1">
                  <c:v>250 Hz</c:v>
                </c:pt>
                <c:pt idx="2">
                  <c:v>500 Hz</c:v>
                </c:pt>
                <c:pt idx="3">
                  <c:v>1000 Hz</c:v>
                </c:pt>
                <c:pt idx="4">
                  <c:v>2000 Hz</c:v>
                </c:pt>
                <c:pt idx="5">
                  <c:v>4000 Hz</c:v>
                </c:pt>
              </c:strCache>
            </c:strRef>
          </c:cat>
          <c:val>
            <c:numRef>
              <c:f>CALC_TR_FITZROY!$F$85:$K$85</c:f>
              <c:numCache>
                <c:formatCode>0.00</c:formatCode>
                <c:ptCount val="6"/>
                <c:pt idx="0">
                  <c:v>3.8865966247855583</c:v>
                </c:pt>
                <c:pt idx="1">
                  <c:v>3.9423380044938092</c:v>
                </c:pt>
                <c:pt idx="2">
                  <c:v>3.9668722687759423</c:v>
                </c:pt>
                <c:pt idx="3">
                  <c:v>2.9847626484897449</c:v>
                </c:pt>
                <c:pt idx="4">
                  <c:v>2.1534919217393518</c:v>
                </c:pt>
                <c:pt idx="5">
                  <c:v>1.1993244337474207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0F-4596-B13F-5B0AA7BAEB24}"/>
            </c:ext>
          </c:extLst>
        </c:ser>
        <c:ser>
          <c:idx val="2"/>
          <c:order val="2"/>
          <c:tx>
            <c:v>TR_ST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CALC_TR_FITZROY!$F$81:$K$81</c:f>
              <c:numCache>
                <c:formatCode>0.00</c:formatCode>
                <c:ptCount val="6"/>
                <c:pt idx="0">
                  <c:v>5.9270796460177007</c:v>
                </c:pt>
                <c:pt idx="1">
                  <c:v>8.0823813354786811</c:v>
                </c:pt>
                <c:pt idx="2">
                  <c:v>8.8906194690265483</c:v>
                </c:pt>
                <c:pt idx="3">
                  <c:v>7.4088495575221245</c:v>
                </c:pt>
                <c:pt idx="4">
                  <c:v>4.5541251133272898</c:v>
                </c:pt>
                <c:pt idx="5">
                  <c:v>2.0407068860450948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9-4186-B81E-A84A4540F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1045248"/>
        <c:axId val="271048160"/>
      </c:lineChart>
      <c:catAx>
        <c:axId val="27104524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Banda</a:t>
                </a:r>
                <a:r>
                  <a:rPr lang="pt-BR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de Oitava </a:t>
                </a:r>
                <a:r>
                  <a:rPr lang="pt-BR" sz="10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/>
                  </a:rPr>
                  <a:t>1/1 </a:t>
                </a:r>
                <a:endParaRPr lang="pt-BR">
                  <a:solidFill>
                    <a:schemeClr val="tx1">
                      <a:lumMod val="75000"/>
                      <a:lumOff val="2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0.42498971650824729"/>
              <c:y val="0.92361073228260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048160"/>
        <c:crosses val="autoZero"/>
        <c:auto val="1"/>
        <c:lblAlgn val="ctr"/>
        <c:lblOffset val="100"/>
        <c:noMultiLvlLbl val="0"/>
      </c:catAx>
      <c:valAx>
        <c:axId val="27104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Tempo de Reverberação [s]</a:t>
                </a:r>
              </a:p>
            </c:rich>
          </c:tx>
          <c:layout>
            <c:manualLayout>
              <c:xMode val="edge"/>
              <c:yMode val="edge"/>
              <c:x val="1.5980601620301332E-2"/>
              <c:y val="0.18247671086064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7104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95058894850519"/>
          <c:y val="5.3542300883680699E-2"/>
          <c:w val="0.15684734820138316"/>
          <c:h val="0.23409647902426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'NBR12179 - TR_ÓTIMO'!$C$2</c:f>
              <c:strCache>
                <c:ptCount val="1"/>
                <c:pt idx="0">
                  <c:v>TR1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'NBR12179 - TR_ÓTIMO'!$B$3:$B$30</c:f>
              <c:numCache>
                <c:formatCode>General</c:formatCode>
                <c:ptCount val="28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600</c:v>
                </c:pt>
                <c:pt idx="11">
                  <c:v>900</c:v>
                </c:pt>
                <c:pt idx="12">
                  <c:v>1200</c:v>
                </c:pt>
                <c:pt idx="13">
                  <c:v>1500</c:v>
                </c:pt>
                <c:pt idx="14">
                  <c:v>1800</c:v>
                </c:pt>
                <c:pt idx="15">
                  <c:v>2100</c:v>
                </c:pt>
                <c:pt idx="16">
                  <c:v>2400</c:v>
                </c:pt>
                <c:pt idx="17">
                  <c:v>2700</c:v>
                </c:pt>
                <c:pt idx="18">
                  <c:v>3000</c:v>
                </c:pt>
                <c:pt idx="19">
                  <c:v>6000</c:v>
                </c:pt>
                <c:pt idx="20">
                  <c:v>9000</c:v>
                </c:pt>
                <c:pt idx="21">
                  <c:v>12000</c:v>
                </c:pt>
                <c:pt idx="22">
                  <c:v>15000</c:v>
                </c:pt>
                <c:pt idx="23">
                  <c:v>18000</c:v>
                </c:pt>
                <c:pt idx="24">
                  <c:v>21000</c:v>
                </c:pt>
                <c:pt idx="25">
                  <c:v>24000</c:v>
                </c:pt>
                <c:pt idx="26">
                  <c:v>27000</c:v>
                </c:pt>
                <c:pt idx="27">
                  <c:v>30000</c:v>
                </c:pt>
              </c:numCache>
            </c:numRef>
          </c:cat>
          <c:val>
            <c:numRef>
              <c:f>'NBR12179 - TR_ÓTIMO'!$C$3:$C$30</c:f>
              <c:numCache>
                <c:formatCode>General</c:formatCode>
                <c:ptCount val="28"/>
                <c:pt idx="0">
                  <c:v>0.3</c:v>
                </c:pt>
                <c:pt idx="1">
                  <c:v>0.38</c:v>
                </c:pt>
                <c:pt idx="2">
                  <c:v>0.44</c:v>
                </c:pt>
                <c:pt idx="3">
                  <c:v>0.46</c:v>
                </c:pt>
                <c:pt idx="4">
                  <c:v>0.5</c:v>
                </c:pt>
                <c:pt idx="5">
                  <c:v>0.52</c:v>
                </c:pt>
                <c:pt idx="6">
                  <c:v>0.54</c:v>
                </c:pt>
                <c:pt idx="7">
                  <c:v>0.56000000000000005</c:v>
                </c:pt>
                <c:pt idx="8">
                  <c:v>0.57999999999999996</c:v>
                </c:pt>
                <c:pt idx="9">
                  <c:v>0.59</c:v>
                </c:pt>
                <c:pt idx="10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7-4488-942A-FD373461D893}"/>
            </c:ext>
          </c:extLst>
        </c:ser>
        <c:ser>
          <c:idx val="1"/>
          <c:order val="1"/>
          <c:tx>
            <c:strRef>
              <c:f>'NBR12179 - TR_ÓTIMO'!$D$2</c:f>
              <c:strCache>
                <c:ptCount val="1"/>
                <c:pt idx="0">
                  <c:v>TR2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'NBR12179 - TR_ÓTIMO'!$B$3:$B$30</c:f>
              <c:numCache>
                <c:formatCode>General</c:formatCode>
                <c:ptCount val="28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600</c:v>
                </c:pt>
                <c:pt idx="11">
                  <c:v>900</c:v>
                </c:pt>
                <c:pt idx="12">
                  <c:v>1200</c:v>
                </c:pt>
                <c:pt idx="13">
                  <c:v>1500</c:v>
                </c:pt>
                <c:pt idx="14">
                  <c:v>1800</c:v>
                </c:pt>
                <c:pt idx="15">
                  <c:v>2100</c:v>
                </c:pt>
                <c:pt idx="16">
                  <c:v>2400</c:v>
                </c:pt>
                <c:pt idx="17">
                  <c:v>2700</c:v>
                </c:pt>
                <c:pt idx="18">
                  <c:v>3000</c:v>
                </c:pt>
                <c:pt idx="19">
                  <c:v>6000</c:v>
                </c:pt>
                <c:pt idx="20">
                  <c:v>9000</c:v>
                </c:pt>
                <c:pt idx="21">
                  <c:v>12000</c:v>
                </c:pt>
                <c:pt idx="22">
                  <c:v>15000</c:v>
                </c:pt>
                <c:pt idx="23">
                  <c:v>18000</c:v>
                </c:pt>
                <c:pt idx="24">
                  <c:v>21000</c:v>
                </c:pt>
                <c:pt idx="25">
                  <c:v>24000</c:v>
                </c:pt>
                <c:pt idx="26">
                  <c:v>27000</c:v>
                </c:pt>
                <c:pt idx="27">
                  <c:v>30000</c:v>
                </c:pt>
              </c:numCache>
            </c:numRef>
          </c:cat>
          <c:val>
            <c:numRef>
              <c:f>'NBR12179 - TR_ÓTIMO'!$D$3:$D$30</c:f>
              <c:numCache>
                <c:formatCode>General</c:formatCode>
                <c:ptCount val="28"/>
                <c:pt idx="0">
                  <c:v>0.38</c:v>
                </c:pt>
                <c:pt idx="1">
                  <c:v>0.48</c:v>
                </c:pt>
                <c:pt idx="2">
                  <c:v>0.54</c:v>
                </c:pt>
                <c:pt idx="3">
                  <c:v>0.57999999999999996</c:v>
                </c:pt>
                <c:pt idx="4">
                  <c:v>0.6</c:v>
                </c:pt>
                <c:pt idx="5">
                  <c:v>0.62</c:v>
                </c:pt>
                <c:pt idx="6">
                  <c:v>0.64</c:v>
                </c:pt>
                <c:pt idx="7">
                  <c:v>0.66</c:v>
                </c:pt>
                <c:pt idx="8">
                  <c:v>0.68</c:v>
                </c:pt>
                <c:pt idx="9">
                  <c:v>0.7</c:v>
                </c:pt>
                <c:pt idx="10">
                  <c:v>0.78</c:v>
                </c:pt>
                <c:pt idx="11">
                  <c:v>0.84</c:v>
                </c:pt>
                <c:pt idx="12">
                  <c:v>0.88</c:v>
                </c:pt>
                <c:pt idx="13">
                  <c:v>0.9</c:v>
                </c:pt>
                <c:pt idx="14">
                  <c:v>0.92</c:v>
                </c:pt>
                <c:pt idx="15">
                  <c:v>0.94</c:v>
                </c:pt>
                <c:pt idx="16">
                  <c:v>0.96</c:v>
                </c:pt>
                <c:pt idx="17">
                  <c:v>0.98</c:v>
                </c:pt>
                <c:pt idx="18">
                  <c:v>1</c:v>
                </c:pt>
                <c:pt idx="19">
                  <c:v>1.1000000000000001</c:v>
                </c:pt>
                <c:pt idx="20">
                  <c:v>1.1599999999999999</c:v>
                </c:pt>
                <c:pt idx="21">
                  <c:v>1.18</c:v>
                </c:pt>
                <c:pt idx="22">
                  <c:v>1.22</c:v>
                </c:pt>
                <c:pt idx="23">
                  <c:v>1.24</c:v>
                </c:pt>
                <c:pt idx="24">
                  <c:v>1.26</c:v>
                </c:pt>
                <c:pt idx="25">
                  <c:v>1.28</c:v>
                </c:pt>
                <c:pt idx="26">
                  <c:v>1.3</c:v>
                </c:pt>
                <c:pt idx="27">
                  <c:v>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47-4488-942A-FD373461D893}"/>
            </c:ext>
          </c:extLst>
        </c:ser>
        <c:ser>
          <c:idx val="2"/>
          <c:order val="2"/>
          <c:tx>
            <c:strRef>
              <c:f>'NBR12179 - TR_ÓTIMO'!$E$2</c:f>
              <c:strCache>
                <c:ptCount val="1"/>
                <c:pt idx="0">
                  <c:v>TR3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'NBR12179 - TR_ÓTIMO'!$B$3:$B$30</c:f>
              <c:numCache>
                <c:formatCode>General</c:formatCode>
                <c:ptCount val="28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600</c:v>
                </c:pt>
                <c:pt idx="11">
                  <c:v>900</c:v>
                </c:pt>
                <c:pt idx="12">
                  <c:v>1200</c:v>
                </c:pt>
                <c:pt idx="13">
                  <c:v>1500</c:v>
                </c:pt>
                <c:pt idx="14">
                  <c:v>1800</c:v>
                </c:pt>
                <c:pt idx="15">
                  <c:v>2100</c:v>
                </c:pt>
                <c:pt idx="16">
                  <c:v>2400</c:v>
                </c:pt>
                <c:pt idx="17">
                  <c:v>2700</c:v>
                </c:pt>
                <c:pt idx="18">
                  <c:v>3000</c:v>
                </c:pt>
                <c:pt idx="19">
                  <c:v>6000</c:v>
                </c:pt>
                <c:pt idx="20">
                  <c:v>9000</c:v>
                </c:pt>
                <c:pt idx="21">
                  <c:v>12000</c:v>
                </c:pt>
                <c:pt idx="22">
                  <c:v>15000</c:v>
                </c:pt>
                <c:pt idx="23">
                  <c:v>18000</c:v>
                </c:pt>
                <c:pt idx="24">
                  <c:v>21000</c:v>
                </c:pt>
                <c:pt idx="25">
                  <c:v>24000</c:v>
                </c:pt>
                <c:pt idx="26">
                  <c:v>27000</c:v>
                </c:pt>
                <c:pt idx="27">
                  <c:v>30000</c:v>
                </c:pt>
              </c:numCache>
            </c:numRef>
          </c:cat>
          <c:val>
            <c:numRef>
              <c:f>'NBR12179 - TR_ÓTIMO'!$E$3:$E$30</c:f>
              <c:numCache>
                <c:formatCode>General</c:formatCode>
                <c:ptCount val="28"/>
                <c:pt idx="2">
                  <c:v>0.62</c:v>
                </c:pt>
                <c:pt idx="3">
                  <c:v>0.68</c:v>
                </c:pt>
                <c:pt idx="4">
                  <c:v>0.72</c:v>
                </c:pt>
                <c:pt idx="5">
                  <c:v>0.78</c:v>
                </c:pt>
                <c:pt idx="6">
                  <c:v>0.8</c:v>
                </c:pt>
                <c:pt idx="7">
                  <c:v>0.82</c:v>
                </c:pt>
                <c:pt idx="8">
                  <c:v>0.84</c:v>
                </c:pt>
                <c:pt idx="9">
                  <c:v>0.86</c:v>
                </c:pt>
                <c:pt idx="10">
                  <c:v>1</c:v>
                </c:pt>
                <c:pt idx="11">
                  <c:v>1.1000000000000001</c:v>
                </c:pt>
                <c:pt idx="12">
                  <c:v>1.1599999999999999</c:v>
                </c:pt>
                <c:pt idx="13">
                  <c:v>1.2</c:v>
                </c:pt>
                <c:pt idx="14">
                  <c:v>1.22</c:v>
                </c:pt>
                <c:pt idx="15">
                  <c:v>1.26</c:v>
                </c:pt>
                <c:pt idx="16">
                  <c:v>1.3</c:v>
                </c:pt>
                <c:pt idx="17">
                  <c:v>1.32</c:v>
                </c:pt>
                <c:pt idx="18">
                  <c:v>1.34</c:v>
                </c:pt>
                <c:pt idx="19">
                  <c:v>1.48</c:v>
                </c:pt>
                <c:pt idx="20">
                  <c:v>1.56</c:v>
                </c:pt>
                <c:pt idx="21">
                  <c:v>1.62</c:v>
                </c:pt>
                <c:pt idx="22">
                  <c:v>1.68</c:v>
                </c:pt>
                <c:pt idx="23">
                  <c:v>1.72</c:v>
                </c:pt>
                <c:pt idx="24">
                  <c:v>1.74</c:v>
                </c:pt>
                <c:pt idx="25">
                  <c:v>1.76</c:v>
                </c:pt>
                <c:pt idx="26">
                  <c:v>1.78</c:v>
                </c:pt>
                <c:pt idx="2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47-4488-942A-FD373461D893}"/>
            </c:ext>
          </c:extLst>
        </c:ser>
        <c:ser>
          <c:idx val="3"/>
          <c:order val="3"/>
          <c:tx>
            <c:strRef>
              <c:f>'NBR12179 - TR_ÓTIMO'!$F$2</c:f>
              <c:strCache>
                <c:ptCount val="1"/>
                <c:pt idx="0">
                  <c:v>TR4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'NBR12179 - TR_ÓTIMO'!$B$3:$B$30</c:f>
              <c:numCache>
                <c:formatCode>General</c:formatCode>
                <c:ptCount val="28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600</c:v>
                </c:pt>
                <c:pt idx="11">
                  <c:v>900</c:v>
                </c:pt>
                <c:pt idx="12">
                  <c:v>1200</c:v>
                </c:pt>
                <c:pt idx="13">
                  <c:v>1500</c:v>
                </c:pt>
                <c:pt idx="14">
                  <c:v>1800</c:v>
                </c:pt>
                <c:pt idx="15">
                  <c:v>2100</c:v>
                </c:pt>
                <c:pt idx="16">
                  <c:v>2400</c:v>
                </c:pt>
                <c:pt idx="17">
                  <c:v>2700</c:v>
                </c:pt>
                <c:pt idx="18">
                  <c:v>3000</c:v>
                </c:pt>
                <c:pt idx="19">
                  <c:v>6000</c:v>
                </c:pt>
                <c:pt idx="20">
                  <c:v>9000</c:v>
                </c:pt>
                <c:pt idx="21">
                  <c:v>12000</c:v>
                </c:pt>
                <c:pt idx="22">
                  <c:v>15000</c:v>
                </c:pt>
                <c:pt idx="23">
                  <c:v>18000</c:v>
                </c:pt>
                <c:pt idx="24">
                  <c:v>21000</c:v>
                </c:pt>
                <c:pt idx="25">
                  <c:v>24000</c:v>
                </c:pt>
                <c:pt idx="26">
                  <c:v>27000</c:v>
                </c:pt>
                <c:pt idx="27">
                  <c:v>30000</c:v>
                </c:pt>
              </c:numCache>
            </c:numRef>
          </c:cat>
          <c:val>
            <c:numRef>
              <c:f>'NBR12179 - TR_ÓTIMO'!$F$3:$F$30</c:f>
              <c:numCache>
                <c:formatCode>General</c:formatCode>
                <c:ptCount val="28"/>
                <c:pt idx="9">
                  <c:v>0.94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1.26</c:v>
                </c:pt>
                <c:pt idx="13">
                  <c:v>1.32</c:v>
                </c:pt>
                <c:pt idx="14">
                  <c:v>1.36</c:v>
                </c:pt>
                <c:pt idx="15">
                  <c:v>1.38</c:v>
                </c:pt>
                <c:pt idx="16">
                  <c:v>1.42</c:v>
                </c:pt>
                <c:pt idx="17">
                  <c:v>1.44</c:v>
                </c:pt>
                <c:pt idx="18">
                  <c:v>1.48</c:v>
                </c:pt>
                <c:pt idx="19">
                  <c:v>1.64</c:v>
                </c:pt>
                <c:pt idx="20">
                  <c:v>1.74</c:v>
                </c:pt>
                <c:pt idx="21">
                  <c:v>1.8</c:v>
                </c:pt>
                <c:pt idx="22">
                  <c:v>1.86</c:v>
                </c:pt>
                <c:pt idx="23">
                  <c:v>1.9</c:v>
                </c:pt>
                <c:pt idx="24">
                  <c:v>1.94</c:v>
                </c:pt>
                <c:pt idx="25">
                  <c:v>1.96</c:v>
                </c:pt>
                <c:pt idx="26">
                  <c:v>1.98</c:v>
                </c:pt>
                <c:pt idx="2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47-4488-942A-FD373461D893}"/>
            </c:ext>
          </c:extLst>
        </c:ser>
        <c:ser>
          <c:idx val="4"/>
          <c:order val="4"/>
          <c:tx>
            <c:strRef>
              <c:f>'NBR12179 - TR_ÓTIMO'!$G$2</c:f>
              <c:strCache>
                <c:ptCount val="1"/>
                <c:pt idx="0">
                  <c:v>TR5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'NBR12179 - TR_ÓTIMO'!$B$3:$B$30</c:f>
              <c:numCache>
                <c:formatCode>General</c:formatCode>
                <c:ptCount val="28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600</c:v>
                </c:pt>
                <c:pt idx="11">
                  <c:v>900</c:v>
                </c:pt>
                <c:pt idx="12">
                  <c:v>1200</c:v>
                </c:pt>
                <c:pt idx="13">
                  <c:v>1500</c:v>
                </c:pt>
                <c:pt idx="14">
                  <c:v>1800</c:v>
                </c:pt>
                <c:pt idx="15">
                  <c:v>2100</c:v>
                </c:pt>
                <c:pt idx="16">
                  <c:v>2400</c:v>
                </c:pt>
                <c:pt idx="17">
                  <c:v>2700</c:v>
                </c:pt>
                <c:pt idx="18">
                  <c:v>3000</c:v>
                </c:pt>
                <c:pt idx="19">
                  <c:v>6000</c:v>
                </c:pt>
                <c:pt idx="20">
                  <c:v>9000</c:v>
                </c:pt>
                <c:pt idx="21">
                  <c:v>12000</c:v>
                </c:pt>
                <c:pt idx="22">
                  <c:v>15000</c:v>
                </c:pt>
                <c:pt idx="23">
                  <c:v>18000</c:v>
                </c:pt>
                <c:pt idx="24">
                  <c:v>21000</c:v>
                </c:pt>
                <c:pt idx="25">
                  <c:v>24000</c:v>
                </c:pt>
                <c:pt idx="26">
                  <c:v>27000</c:v>
                </c:pt>
                <c:pt idx="27">
                  <c:v>30000</c:v>
                </c:pt>
              </c:numCache>
            </c:numRef>
          </c:cat>
          <c:val>
            <c:numRef>
              <c:f>'NBR12179 - TR_ÓTIMO'!$G$3:$G$30</c:f>
              <c:numCache>
                <c:formatCode>General</c:formatCode>
                <c:ptCount val="28"/>
                <c:pt idx="0">
                  <c:v>0.9</c:v>
                </c:pt>
                <c:pt idx="1">
                  <c:v>1.04</c:v>
                </c:pt>
                <c:pt idx="2">
                  <c:v>1.1200000000000001</c:v>
                </c:pt>
                <c:pt idx="3">
                  <c:v>1.18</c:v>
                </c:pt>
                <c:pt idx="4">
                  <c:v>1.24</c:v>
                </c:pt>
                <c:pt idx="5">
                  <c:v>1.28</c:v>
                </c:pt>
                <c:pt idx="6">
                  <c:v>1.3</c:v>
                </c:pt>
                <c:pt idx="7">
                  <c:v>1.34</c:v>
                </c:pt>
                <c:pt idx="8">
                  <c:v>1.36</c:v>
                </c:pt>
                <c:pt idx="9">
                  <c:v>1.38</c:v>
                </c:pt>
                <c:pt idx="10">
                  <c:v>1.5</c:v>
                </c:pt>
                <c:pt idx="11">
                  <c:v>1.6</c:v>
                </c:pt>
                <c:pt idx="12">
                  <c:v>1.66</c:v>
                </c:pt>
                <c:pt idx="13">
                  <c:v>1.7</c:v>
                </c:pt>
                <c:pt idx="14">
                  <c:v>1.74</c:v>
                </c:pt>
                <c:pt idx="15">
                  <c:v>1.76</c:v>
                </c:pt>
                <c:pt idx="16">
                  <c:v>1.78</c:v>
                </c:pt>
                <c:pt idx="17">
                  <c:v>1.82</c:v>
                </c:pt>
                <c:pt idx="18">
                  <c:v>1.84</c:v>
                </c:pt>
                <c:pt idx="19">
                  <c:v>1.98</c:v>
                </c:pt>
                <c:pt idx="20">
                  <c:v>2.04</c:v>
                </c:pt>
                <c:pt idx="21">
                  <c:v>2.12</c:v>
                </c:pt>
                <c:pt idx="22">
                  <c:v>2.1800000000000002</c:v>
                </c:pt>
                <c:pt idx="23">
                  <c:v>2.2000000000000002</c:v>
                </c:pt>
                <c:pt idx="24">
                  <c:v>2.2400000000000002</c:v>
                </c:pt>
                <c:pt idx="25">
                  <c:v>2.2599999999999998</c:v>
                </c:pt>
                <c:pt idx="26">
                  <c:v>2.2999999999999998</c:v>
                </c:pt>
                <c:pt idx="27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E47-4488-942A-FD373461D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1677487"/>
        <c:axId val="1071678735"/>
      </c:lineChart>
      <c:catAx>
        <c:axId val="1071677487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1678735"/>
        <c:crosses val="autoZero"/>
        <c:auto val="1"/>
        <c:lblAlgn val="ctr"/>
        <c:lblOffset val="100"/>
        <c:noMultiLvlLbl val="0"/>
      </c:catAx>
      <c:valAx>
        <c:axId val="1071678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167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jp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426027</xdr:colOff>
      <xdr:row>19</xdr:row>
      <xdr:rowOff>83128</xdr:rowOff>
    </xdr:from>
    <xdr:ext cx="8772525" cy="5276850"/>
    <xdr:pic>
      <xdr:nvPicPr>
        <xdr:cNvPr id="2" name="image1.jpg" descr="p">
          <a:extLst>
            <a:ext uri="{FF2B5EF4-FFF2-40B4-BE49-F238E27FC236}">
              <a16:creationId xmlns:a16="http://schemas.microsoft.com/office/drawing/2014/main" id="{E05A914A-5096-4463-AF38-2FB5C9A1E9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10207" y="3618808"/>
          <a:ext cx="8772525" cy="5276850"/>
        </a:xfrm>
        <a:prstGeom prst="rect">
          <a:avLst/>
        </a:prstGeom>
        <a:noFill/>
      </xdr:spPr>
    </xdr:pic>
    <xdr:clientData fLocksWithSheet="0"/>
  </xdr:oneCellAnchor>
  <xdr:twoCellAnchor>
    <xdr:from>
      <xdr:col>2</xdr:col>
      <xdr:colOff>4374</xdr:colOff>
      <xdr:row>77</xdr:row>
      <xdr:rowOff>728</xdr:rowOff>
    </xdr:from>
    <xdr:to>
      <xdr:col>8</xdr:col>
      <xdr:colOff>228599</xdr:colOff>
      <xdr:row>96</xdr:row>
      <xdr:rowOff>4011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D9964C-B595-4037-812D-E7C345B1F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30480</xdr:colOff>
      <xdr:row>57</xdr:row>
      <xdr:rowOff>175260</xdr:rowOff>
    </xdr:from>
    <xdr:to>
      <xdr:col>15</xdr:col>
      <xdr:colOff>579120</xdr:colOff>
      <xdr:row>61</xdr:row>
      <xdr:rowOff>45720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1420FBB7-5518-4D9A-B5DC-A645EA4F198E}"/>
            </a:ext>
          </a:extLst>
        </xdr:cNvPr>
        <xdr:cNvSpPr txBox="1"/>
      </xdr:nvSpPr>
      <xdr:spPr>
        <a:xfrm>
          <a:off x="11071860" y="10706100"/>
          <a:ext cx="2209800" cy="62484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>
              <a:solidFill>
                <a:schemeClr val="accent2"/>
              </a:solidFill>
              <a:latin typeface="+mj-lt"/>
            </a:rPr>
            <a:t>Se </a:t>
          </a:r>
          <a:r>
            <a:rPr lang="el-GR" sz="1100">
              <a:solidFill>
                <a:schemeClr val="accent2"/>
              </a:solidFill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α</a:t>
          </a:r>
          <a:r>
            <a:rPr lang="pt-BR" sz="1100">
              <a:solidFill>
                <a:schemeClr val="accent2"/>
              </a:solidFill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 &gt; 0,3 será utilizada a Fórmula de Eyring.</a:t>
          </a:r>
          <a:r>
            <a:rPr lang="pt-BR" sz="1100" baseline="0">
              <a:solidFill>
                <a:schemeClr val="accent2"/>
              </a:solidFill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 Se menor, será utilizada a Fórmula de Sabine. 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11</xdr:col>
      <xdr:colOff>167640</xdr:colOff>
      <xdr:row>59</xdr:row>
      <xdr:rowOff>83820</xdr:rowOff>
    </xdr:from>
    <xdr:to>
      <xdr:col>12</xdr:col>
      <xdr:colOff>342900</xdr:colOff>
      <xdr:row>59</xdr:row>
      <xdr:rowOff>83820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67603E0A-B73A-4323-81BF-8A6AA8E8A736}"/>
            </a:ext>
          </a:extLst>
        </xdr:cNvPr>
        <xdr:cNvCxnSpPr/>
      </xdr:nvCxnSpPr>
      <xdr:spPr>
        <a:xfrm flipH="1">
          <a:off x="9296400" y="10995660"/>
          <a:ext cx="1630680" cy="0"/>
        </a:xfrm>
        <a:prstGeom prst="straightConnector1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64</xdr:row>
      <xdr:rowOff>144780</xdr:rowOff>
    </xdr:from>
    <xdr:to>
      <xdr:col>15</xdr:col>
      <xdr:colOff>579120</xdr:colOff>
      <xdr:row>68</xdr:row>
      <xdr:rowOff>15240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38AD5C0-3345-4E71-B3AC-E93D11A64400}"/>
            </a:ext>
          </a:extLst>
        </xdr:cNvPr>
        <xdr:cNvSpPr txBox="1"/>
      </xdr:nvSpPr>
      <xdr:spPr>
        <a:xfrm>
          <a:off x="11071860" y="12001500"/>
          <a:ext cx="2209800" cy="62484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>
              <a:solidFill>
                <a:schemeClr val="accent2"/>
              </a:solidFill>
              <a:latin typeface="+mj-lt"/>
            </a:rPr>
            <a:t>Insira aqui os valores para o tempo de reverberação do ambiente sem tratamento acústico</a:t>
          </a:r>
          <a:r>
            <a:rPr lang="pt-BR" sz="1100" baseline="0">
              <a:solidFill>
                <a:schemeClr val="accent2"/>
              </a:solidFill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. 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11</xdr:col>
      <xdr:colOff>190500</xdr:colOff>
      <xdr:row>63</xdr:row>
      <xdr:rowOff>53340</xdr:rowOff>
    </xdr:from>
    <xdr:to>
      <xdr:col>12</xdr:col>
      <xdr:colOff>327660</xdr:colOff>
      <xdr:row>66</xdr:row>
      <xdr:rowOff>99060</xdr:rowOff>
    </xdr:to>
    <xdr:cxnSp macro="">
      <xdr:nvCxnSpPr>
        <xdr:cNvPr id="7" name="Conector: Angulado 6">
          <a:extLst>
            <a:ext uri="{FF2B5EF4-FFF2-40B4-BE49-F238E27FC236}">
              <a16:creationId xmlns:a16="http://schemas.microsoft.com/office/drawing/2014/main" id="{8CC8D6F7-6A56-44EC-8126-2F68FFDF1903}"/>
            </a:ext>
          </a:extLst>
        </xdr:cNvPr>
        <xdr:cNvCxnSpPr/>
      </xdr:nvCxnSpPr>
      <xdr:spPr>
        <a:xfrm rot="10800000">
          <a:off x="9319260" y="11719560"/>
          <a:ext cx="1592580" cy="609600"/>
        </a:xfrm>
        <a:prstGeom prst="bentConnector3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175260</xdr:colOff>
      <xdr:row>98</xdr:row>
      <xdr:rowOff>22860</xdr:rowOff>
    </xdr:from>
    <xdr:to>
      <xdr:col>12</xdr:col>
      <xdr:colOff>350520</xdr:colOff>
      <xdr:row>98</xdr:row>
      <xdr:rowOff>22860</xdr:rowOff>
    </xdr:to>
    <xdr:cxnSp macro="">
      <xdr:nvCxnSpPr>
        <xdr:cNvPr id="11" name="Conector de Seta Reta 10">
          <a:extLst>
            <a:ext uri="{FF2B5EF4-FFF2-40B4-BE49-F238E27FC236}">
              <a16:creationId xmlns:a16="http://schemas.microsoft.com/office/drawing/2014/main" id="{725B184F-0653-4769-A081-D11D79195307}"/>
            </a:ext>
          </a:extLst>
        </xdr:cNvPr>
        <xdr:cNvCxnSpPr/>
      </xdr:nvCxnSpPr>
      <xdr:spPr>
        <a:xfrm flipH="1">
          <a:off x="9304020" y="17449800"/>
          <a:ext cx="1630680" cy="0"/>
        </a:xfrm>
        <a:prstGeom prst="straightConnector1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586740</xdr:colOff>
      <xdr:row>0</xdr:row>
      <xdr:rowOff>137160</xdr:rowOff>
    </xdr:from>
    <xdr:to>
      <xdr:col>16</xdr:col>
      <xdr:colOff>7620</xdr:colOff>
      <xdr:row>5</xdr:row>
      <xdr:rowOff>175260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E28C1A43-CECE-44F9-8449-2DD20C35E95C}"/>
            </a:ext>
          </a:extLst>
        </xdr:cNvPr>
        <xdr:cNvSpPr txBox="1"/>
      </xdr:nvSpPr>
      <xdr:spPr>
        <a:xfrm>
          <a:off x="11628120" y="137160"/>
          <a:ext cx="2011680" cy="99822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>
              <a:solidFill>
                <a:schemeClr val="accent2"/>
              </a:solidFill>
              <a:latin typeface="+mj-lt"/>
            </a:rPr>
            <a:t>Insira as dimensões da sala em metros e selecione qual uso</a:t>
          </a:r>
          <a:r>
            <a:rPr lang="pt-BR" sz="1100" baseline="0">
              <a:solidFill>
                <a:schemeClr val="accent2"/>
              </a:solidFill>
              <a:latin typeface="+mj-lt"/>
            </a:rPr>
            <a:t> esperado no ambiente com base na tabela apresentada na NBR 12.179.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15</xdr:col>
      <xdr:colOff>571500</xdr:colOff>
      <xdr:row>6</xdr:row>
      <xdr:rowOff>76200</xdr:rowOff>
    </xdr:from>
    <xdr:to>
      <xdr:col>15</xdr:col>
      <xdr:colOff>571500</xdr:colOff>
      <xdr:row>14</xdr:row>
      <xdr:rowOff>30480</xdr:rowOff>
    </xdr:to>
    <xdr:cxnSp macro="">
      <xdr:nvCxnSpPr>
        <xdr:cNvPr id="13" name="Conector de Seta Reta 12">
          <a:extLst>
            <a:ext uri="{FF2B5EF4-FFF2-40B4-BE49-F238E27FC236}">
              <a16:creationId xmlns:a16="http://schemas.microsoft.com/office/drawing/2014/main" id="{A95D71FD-A05F-4AB8-B9E5-66A51E0C81E7}"/>
            </a:ext>
          </a:extLst>
        </xdr:cNvPr>
        <xdr:cNvCxnSpPr/>
      </xdr:nvCxnSpPr>
      <xdr:spPr>
        <a:xfrm>
          <a:off x="13274040" y="1219200"/>
          <a:ext cx="0" cy="1432560"/>
        </a:xfrm>
        <a:prstGeom prst="straightConnector1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112299</xdr:colOff>
      <xdr:row>6</xdr:row>
      <xdr:rowOff>91042</xdr:rowOff>
    </xdr:from>
    <xdr:to>
      <xdr:col>15</xdr:col>
      <xdr:colOff>336886</xdr:colOff>
      <xdr:row>8</xdr:row>
      <xdr:rowOff>177262</xdr:rowOff>
    </xdr:to>
    <xdr:cxnSp macro="">
      <xdr:nvCxnSpPr>
        <xdr:cNvPr id="14" name="Conector: Angulado 13">
          <a:extLst>
            <a:ext uri="{FF2B5EF4-FFF2-40B4-BE49-F238E27FC236}">
              <a16:creationId xmlns:a16="http://schemas.microsoft.com/office/drawing/2014/main" id="{4C45B966-4261-4466-85FF-38A04327A108}"/>
            </a:ext>
          </a:extLst>
        </xdr:cNvPr>
        <xdr:cNvCxnSpPr/>
      </xdr:nvCxnSpPr>
      <xdr:spPr>
        <a:xfrm rot="5400000">
          <a:off x="12697333" y="1351548"/>
          <a:ext cx="459600" cy="224587"/>
        </a:xfrm>
        <a:prstGeom prst="bentConnector3">
          <a:avLst>
            <a:gd name="adj1" fmla="val 100001"/>
          </a:avLst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0</xdr:row>
      <xdr:rowOff>121920</xdr:rowOff>
    </xdr:from>
    <xdr:to>
      <xdr:col>12</xdr:col>
      <xdr:colOff>53340</xdr:colOff>
      <xdr:row>5</xdr:row>
      <xdr:rowOff>160020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EABA0584-6F90-4506-9736-1BAD130A64B4}"/>
            </a:ext>
          </a:extLst>
        </xdr:cNvPr>
        <xdr:cNvSpPr txBox="1"/>
      </xdr:nvSpPr>
      <xdr:spPr>
        <a:xfrm>
          <a:off x="7475220" y="121920"/>
          <a:ext cx="3162300" cy="99822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>
              <a:solidFill>
                <a:schemeClr val="accent2"/>
              </a:solidFill>
              <a:latin typeface="+mj-lt"/>
            </a:rPr>
            <a:t>Células</a:t>
          </a:r>
          <a:r>
            <a:rPr lang="pt-BR" sz="1100" baseline="0">
              <a:solidFill>
                <a:schemeClr val="accent2"/>
              </a:solidFill>
              <a:latin typeface="+mj-lt"/>
            </a:rPr>
            <a:t> em azul devem ser preenchidas, células em cinza são calculadas/preenchidas automaticamente. A planilha contém uma base de dados para materiais (m² e unidade) que pode ser atualizada caso não encontre as especificações desejadas.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11</xdr:col>
      <xdr:colOff>1264920</xdr:colOff>
      <xdr:row>6</xdr:row>
      <xdr:rowOff>68580</xdr:rowOff>
    </xdr:from>
    <xdr:to>
      <xdr:col>11</xdr:col>
      <xdr:colOff>1264920</xdr:colOff>
      <xdr:row>7</xdr:row>
      <xdr:rowOff>137160</xdr:rowOff>
    </xdr:to>
    <xdr:cxnSp macro="">
      <xdr:nvCxnSpPr>
        <xdr:cNvPr id="16" name="Conector de Seta Reta 15">
          <a:extLst>
            <a:ext uri="{FF2B5EF4-FFF2-40B4-BE49-F238E27FC236}">
              <a16:creationId xmlns:a16="http://schemas.microsoft.com/office/drawing/2014/main" id="{03B6A87E-D4EC-4661-B4FA-49632C93E5B0}"/>
            </a:ext>
          </a:extLst>
        </xdr:cNvPr>
        <xdr:cNvCxnSpPr/>
      </xdr:nvCxnSpPr>
      <xdr:spPr>
        <a:xfrm>
          <a:off x="10393680" y="1211580"/>
          <a:ext cx="0" cy="251460"/>
        </a:xfrm>
        <a:prstGeom prst="straightConnector1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152399</xdr:colOff>
      <xdr:row>0</xdr:row>
      <xdr:rowOff>144780</xdr:rowOff>
    </xdr:from>
    <xdr:to>
      <xdr:col>1</xdr:col>
      <xdr:colOff>1143000</xdr:colOff>
      <xdr:row>5</xdr:row>
      <xdr:rowOff>175263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52DE88A2-8B26-4427-8AD0-5FB400A96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44780"/>
          <a:ext cx="990601" cy="99060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</xdr:row>
      <xdr:rowOff>22860</xdr:rowOff>
    </xdr:from>
    <xdr:to>
      <xdr:col>1</xdr:col>
      <xdr:colOff>1074420</xdr:colOff>
      <xdr:row>85</xdr:row>
      <xdr:rowOff>7620</xdr:rowOff>
    </xdr:to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D480899D-C638-4F39-B23A-B27DACC312C7}"/>
            </a:ext>
          </a:extLst>
        </xdr:cNvPr>
        <xdr:cNvSpPr txBox="1"/>
      </xdr:nvSpPr>
      <xdr:spPr>
        <a:xfrm>
          <a:off x="152400" y="14325600"/>
          <a:ext cx="1074420" cy="149352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 baseline="0">
              <a:solidFill>
                <a:schemeClr val="accent2"/>
              </a:solidFill>
              <a:latin typeface="+mj-lt"/>
              <a:ea typeface="+mn-ea"/>
              <a:cs typeface="+mn-cs"/>
            </a:rPr>
            <a:t>Gráfico final comparativo a ser inserido no relatório. Se necessário, remover série não pertinente à análise</a:t>
          </a:r>
          <a:r>
            <a:rPr lang="pt-BR" sz="1100" baseline="0">
              <a:solidFill>
                <a:schemeClr val="accent2"/>
              </a:solidFill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. 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13</xdr:col>
      <xdr:colOff>45720</xdr:colOff>
      <xdr:row>97</xdr:row>
      <xdr:rowOff>129540</xdr:rowOff>
    </xdr:from>
    <xdr:to>
      <xdr:col>15</xdr:col>
      <xdr:colOff>594360</xdr:colOff>
      <xdr:row>101</xdr:row>
      <xdr:rowOff>0</xdr:rowOff>
    </xdr:to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A7239871-632B-4095-804F-9D6D8CB3AD8D}"/>
            </a:ext>
          </a:extLst>
        </xdr:cNvPr>
        <xdr:cNvSpPr txBox="1"/>
      </xdr:nvSpPr>
      <xdr:spPr>
        <a:xfrm>
          <a:off x="11087100" y="18219420"/>
          <a:ext cx="2209800" cy="61722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 baseline="0">
              <a:solidFill>
                <a:schemeClr val="accent2"/>
              </a:solidFill>
              <a:latin typeface="+mj-lt"/>
              <a:ea typeface="+mn-ea"/>
              <a:cs typeface="+mn-cs"/>
            </a:rPr>
            <a:t>A NBR 12.179 indica uma tolerância de 10% para os resultados obtidos serem considerados satisfatórios</a:t>
          </a:r>
          <a:r>
            <a:rPr lang="pt-BR" sz="1100" baseline="0">
              <a:solidFill>
                <a:schemeClr val="accent2"/>
              </a:solidFill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. 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11</xdr:col>
      <xdr:colOff>175260</xdr:colOff>
      <xdr:row>78</xdr:row>
      <xdr:rowOff>91440</xdr:rowOff>
    </xdr:from>
    <xdr:to>
      <xdr:col>12</xdr:col>
      <xdr:colOff>320040</xdr:colOff>
      <xdr:row>78</xdr:row>
      <xdr:rowOff>91440</xdr:rowOff>
    </xdr:to>
    <xdr:cxnSp macro="">
      <xdr:nvCxnSpPr>
        <xdr:cNvPr id="31" name="Conector de Seta Reta 30">
          <a:extLst>
            <a:ext uri="{FF2B5EF4-FFF2-40B4-BE49-F238E27FC236}">
              <a16:creationId xmlns:a16="http://schemas.microsoft.com/office/drawing/2014/main" id="{ED3A158A-4D36-412C-9CC0-57B9E366F75D}"/>
            </a:ext>
          </a:extLst>
        </xdr:cNvPr>
        <xdr:cNvCxnSpPr/>
      </xdr:nvCxnSpPr>
      <xdr:spPr>
        <a:xfrm flipH="1">
          <a:off x="9304020" y="14584680"/>
          <a:ext cx="1600200" cy="0"/>
        </a:xfrm>
        <a:prstGeom prst="straightConnector1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182880</xdr:colOff>
      <xdr:row>83</xdr:row>
      <xdr:rowOff>114300</xdr:rowOff>
    </xdr:from>
    <xdr:to>
      <xdr:col>12</xdr:col>
      <xdr:colOff>358140</xdr:colOff>
      <xdr:row>83</xdr:row>
      <xdr:rowOff>114300</xdr:rowOff>
    </xdr:to>
    <xdr:cxnSp macro="">
      <xdr:nvCxnSpPr>
        <xdr:cNvPr id="32" name="Conector de Seta Reta 31">
          <a:extLst>
            <a:ext uri="{FF2B5EF4-FFF2-40B4-BE49-F238E27FC236}">
              <a16:creationId xmlns:a16="http://schemas.microsoft.com/office/drawing/2014/main" id="{27FB0147-EEF3-4651-BC36-D01311C58503}"/>
            </a:ext>
          </a:extLst>
        </xdr:cNvPr>
        <xdr:cNvCxnSpPr/>
      </xdr:nvCxnSpPr>
      <xdr:spPr>
        <a:xfrm flipH="1">
          <a:off x="9311640" y="15544800"/>
          <a:ext cx="1630680" cy="0"/>
        </a:xfrm>
        <a:prstGeom prst="straightConnector1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841811</xdr:colOff>
      <xdr:row>85</xdr:row>
      <xdr:rowOff>53341</xdr:rowOff>
    </xdr:from>
    <xdr:to>
      <xdr:col>1</xdr:col>
      <xdr:colOff>1021083</xdr:colOff>
      <xdr:row>87</xdr:row>
      <xdr:rowOff>160024</xdr:rowOff>
    </xdr:to>
    <xdr:cxnSp macro="">
      <xdr:nvCxnSpPr>
        <xdr:cNvPr id="33" name="Conector: Angulado 32">
          <a:extLst>
            <a:ext uri="{FF2B5EF4-FFF2-40B4-BE49-F238E27FC236}">
              <a16:creationId xmlns:a16="http://schemas.microsoft.com/office/drawing/2014/main" id="{FE98FDB4-CBDA-4F41-9A6B-32C5E8CF204E}"/>
            </a:ext>
          </a:extLst>
        </xdr:cNvPr>
        <xdr:cNvCxnSpPr/>
      </xdr:nvCxnSpPr>
      <xdr:spPr>
        <a:xfrm rot="16200000" flipH="1">
          <a:off x="840005" y="16019047"/>
          <a:ext cx="487683" cy="179272"/>
        </a:xfrm>
        <a:prstGeom prst="bentConnector3">
          <a:avLst>
            <a:gd name="adj1" fmla="val 100000"/>
          </a:avLst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45720</xdr:colOff>
      <xdr:row>86</xdr:row>
      <xdr:rowOff>147320</xdr:rowOff>
    </xdr:from>
    <xdr:to>
      <xdr:col>16</xdr:col>
      <xdr:colOff>320040</xdr:colOff>
      <xdr:row>91</xdr:row>
      <xdr:rowOff>40640</xdr:rowOff>
    </xdr:to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87E0B230-010C-402E-942E-967DAF8314E1}"/>
            </a:ext>
          </a:extLst>
        </xdr:cNvPr>
        <xdr:cNvSpPr txBox="1"/>
      </xdr:nvSpPr>
      <xdr:spPr>
        <a:xfrm>
          <a:off x="11087100" y="16149320"/>
          <a:ext cx="2865120" cy="84582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 baseline="0">
              <a:solidFill>
                <a:schemeClr val="accent2"/>
              </a:solidFill>
              <a:latin typeface="+mj-lt"/>
              <a:ea typeface="+mn-ea"/>
              <a:cs typeface="+mn-cs"/>
            </a:rPr>
            <a:t>A definição está relacionada à inteligibilidade da fala. O parâmentro mede a razão entre a energia nas primeiras reflexões (50ms) e a energia total da resposta.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11</xdr:col>
      <xdr:colOff>182880</xdr:colOff>
      <xdr:row>89</xdr:row>
      <xdr:rowOff>99060</xdr:rowOff>
    </xdr:from>
    <xdr:to>
      <xdr:col>12</xdr:col>
      <xdr:colOff>358140</xdr:colOff>
      <xdr:row>89</xdr:row>
      <xdr:rowOff>99060</xdr:rowOff>
    </xdr:to>
    <xdr:cxnSp macro="">
      <xdr:nvCxnSpPr>
        <xdr:cNvPr id="35" name="Conector de Seta Reta 34">
          <a:extLst>
            <a:ext uri="{FF2B5EF4-FFF2-40B4-BE49-F238E27FC236}">
              <a16:creationId xmlns:a16="http://schemas.microsoft.com/office/drawing/2014/main" id="{53AF6A3B-48DA-4DC5-8A25-584249EE0526}"/>
            </a:ext>
          </a:extLst>
        </xdr:cNvPr>
        <xdr:cNvCxnSpPr/>
      </xdr:nvCxnSpPr>
      <xdr:spPr>
        <a:xfrm flipH="1">
          <a:off x="9311640" y="16672560"/>
          <a:ext cx="1630680" cy="0"/>
        </a:xfrm>
        <a:prstGeom prst="straightConnector1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45720</xdr:colOff>
      <xdr:row>81</xdr:row>
      <xdr:rowOff>20320</xdr:rowOff>
    </xdr:from>
    <xdr:to>
      <xdr:col>16</xdr:col>
      <xdr:colOff>312420</xdr:colOff>
      <xdr:row>86</xdr:row>
      <xdr:rowOff>27940</xdr:rowOff>
    </xdr:to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152FFA31-8A81-4374-A5CB-8A8B4C042988}"/>
            </a:ext>
          </a:extLst>
        </xdr:cNvPr>
        <xdr:cNvSpPr txBox="1"/>
      </xdr:nvSpPr>
      <xdr:spPr>
        <a:xfrm>
          <a:off x="11087100" y="15077440"/>
          <a:ext cx="28575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 baseline="0">
              <a:solidFill>
                <a:schemeClr val="accent2"/>
              </a:solidFill>
              <a:latin typeface="+mj-lt"/>
              <a:ea typeface="+mn-ea"/>
              <a:cs typeface="+mn-cs"/>
            </a:rPr>
            <a:t>A claridade está relacionada à inteligibilidade da música (80ms) e da fala (50ms). O parâmentro mede a razão entre a energia nas primeiras reflexões e a energia contida na cauda reverberante.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13</xdr:col>
      <xdr:colOff>53340</xdr:colOff>
      <xdr:row>91</xdr:row>
      <xdr:rowOff>160020</xdr:rowOff>
    </xdr:from>
    <xdr:to>
      <xdr:col>16</xdr:col>
      <xdr:colOff>312420</xdr:colOff>
      <xdr:row>96</xdr:row>
      <xdr:rowOff>160020</xdr:rowOff>
    </xdr:to>
    <xdr:sp macro="" textlink="">
      <xdr:nvSpPr>
        <xdr:cNvPr id="37" name="CaixaDeTexto 36">
          <a:extLst>
            <a:ext uri="{FF2B5EF4-FFF2-40B4-BE49-F238E27FC236}">
              <a16:creationId xmlns:a16="http://schemas.microsoft.com/office/drawing/2014/main" id="{44FEE332-3DC0-40C4-A88A-CB6374B2154A}"/>
            </a:ext>
          </a:extLst>
        </xdr:cNvPr>
        <xdr:cNvSpPr txBox="1"/>
      </xdr:nvSpPr>
      <xdr:spPr>
        <a:xfrm>
          <a:off x="11094720" y="17114520"/>
          <a:ext cx="2849880" cy="94488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 baseline="0">
              <a:solidFill>
                <a:schemeClr val="accent2"/>
              </a:solidFill>
              <a:latin typeface="+mj-lt"/>
              <a:ea typeface="+mn-ea"/>
              <a:cs typeface="+mn-cs"/>
            </a:rPr>
            <a:t>O fator de força/ganho é a medida da influência do tempo de reverberação e volume da sala na internsidade percebida do som, considerando a distância entre a fonte e receptor (r).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11</xdr:col>
      <xdr:colOff>190500</xdr:colOff>
      <xdr:row>93</xdr:row>
      <xdr:rowOff>129540</xdr:rowOff>
    </xdr:from>
    <xdr:to>
      <xdr:col>12</xdr:col>
      <xdr:colOff>365760</xdr:colOff>
      <xdr:row>93</xdr:row>
      <xdr:rowOff>129540</xdr:rowOff>
    </xdr:to>
    <xdr:cxnSp macro="">
      <xdr:nvCxnSpPr>
        <xdr:cNvPr id="38" name="Conector de Seta Reta 37">
          <a:extLst>
            <a:ext uri="{FF2B5EF4-FFF2-40B4-BE49-F238E27FC236}">
              <a16:creationId xmlns:a16="http://schemas.microsoft.com/office/drawing/2014/main" id="{FF3B9144-56C3-4226-B4D6-6C54B5872F5F}"/>
            </a:ext>
          </a:extLst>
        </xdr:cNvPr>
        <xdr:cNvCxnSpPr/>
      </xdr:nvCxnSpPr>
      <xdr:spPr>
        <a:xfrm flipH="1">
          <a:off x="9319260" y="17449800"/>
          <a:ext cx="1630680" cy="0"/>
        </a:xfrm>
        <a:prstGeom prst="straightConnector1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</xdr:colOff>
      <xdr:row>76</xdr:row>
      <xdr:rowOff>45720</xdr:rowOff>
    </xdr:from>
    <xdr:to>
      <xdr:col>16</xdr:col>
      <xdr:colOff>297180</xdr:colOff>
      <xdr:row>80</xdr:row>
      <xdr:rowOff>91440</xdr:rowOff>
    </xdr:to>
    <xdr:sp macro="" textlink="">
      <xdr:nvSpPr>
        <xdr:cNvPr id="39" name="CaixaDeTexto 38">
          <a:extLst>
            <a:ext uri="{FF2B5EF4-FFF2-40B4-BE49-F238E27FC236}">
              <a16:creationId xmlns:a16="http://schemas.microsoft.com/office/drawing/2014/main" id="{88DCA00A-2849-4EA9-BAA1-ACEDD4804C0C}"/>
            </a:ext>
          </a:extLst>
        </xdr:cNvPr>
        <xdr:cNvSpPr txBox="1"/>
      </xdr:nvSpPr>
      <xdr:spPr>
        <a:xfrm>
          <a:off x="11079480" y="14165580"/>
          <a:ext cx="2849880" cy="79248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 baseline="0">
              <a:solidFill>
                <a:schemeClr val="accent2"/>
              </a:solidFill>
              <a:latin typeface="+mj-lt"/>
              <a:ea typeface="+mn-ea"/>
              <a:cs typeface="+mn-cs"/>
            </a:rPr>
            <a:t>As razões de graves e agudos são utilizadas para expressar o timbre da sala, são calculadas através da relação entre as frequências altas/baixas e as médias frequências.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4</xdr:col>
      <xdr:colOff>38100</xdr:colOff>
      <xdr:row>0</xdr:row>
      <xdr:rowOff>121920</xdr:rowOff>
    </xdr:from>
    <xdr:to>
      <xdr:col>8</xdr:col>
      <xdr:colOff>38100</xdr:colOff>
      <xdr:row>5</xdr:row>
      <xdr:rowOff>160020</xdr:rowOff>
    </xdr:to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ADFF50FF-62D2-4929-BAFC-068299DFFD53}"/>
            </a:ext>
          </a:extLst>
        </xdr:cNvPr>
        <xdr:cNvSpPr txBox="1"/>
      </xdr:nvSpPr>
      <xdr:spPr>
        <a:xfrm>
          <a:off x="4975860" y="121920"/>
          <a:ext cx="2346960" cy="99822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>
              <a:solidFill>
                <a:schemeClr val="accent2"/>
              </a:solidFill>
              <a:latin typeface="+mj-lt"/>
            </a:rPr>
            <a:t>Esta planilha calcula</a:t>
          </a:r>
          <a:r>
            <a:rPr lang="pt-BR" sz="1100" baseline="0">
              <a:solidFill>
                <a:schemeClr val="accent2"/>
              </a:solidFill>
              <a:latin typeface="+mj-lt"/>
            </a:rPr>
            <a:t> o tempo de reverberação (T60) conforme as fórmulas de Sabine e Eyring, que consideram a distribuição uniforme da absorção na sala.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426027</xdr:colOff>
      <xdr:row>19</xdr:row>
      <xdr:rowOff>83128</xdr:rowOff>
    </xdr:from>
    <xdr:ext cx="8772525" cy="5276850"/>
    <xdr:pic>
      <xdr:nvPicPr>
        <xdr:cNvPr id="3" name="image1.jpg" descr="p">
          <a:extLst>
            <a:ext uri="{FF2B5EF4-FFF2-40B4-BE49-F238E27FC236}">
              <a16:creationId xmlns:a16="http://schemas.microsoft.com/office/drawing/2014/main" id="{17851D46-43D7-4277-95E3-E39D4722D3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10207" y="3573088"/>
          <a:ext cx="8772525" cy="5276850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19614</xdr:colOff>
      <xdr:row>90</xdr:row>
      <xdr:rowOff>728</xdr:rowOff>
    </xdr:from>
    <xdr:to>
      <xdr:col>9</xdr:col>
      <xdr:colOff>236219</xdr:colOff>
      <xdr:row>109</xdr:row>
      <xdr:rowOff>4011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0670D7-FC40-4D1C-A304-402A9D151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167640</xdr:colOff>
      <xdr:row>76</xdr:row>
      <xdr:rowOff>99060</xdr:rowOff>
    </xdr:from>
    <xdr:to>
      <xdr:col>13</xdr:col>
      <xdr:colOff>342900</xdr:colOff>
      <xdr:row>76</xdr:row>
      <xdr:rowOff>99060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EA393B71-34FD-6E22-0F55-069B4ACC3CFA}"/>
            </a:ext>
          </a:extLst>
        </xdr:cNvPr>
        <xdr:cNvCxnSpPr/>
      </xdr:nvCxnSpPr>
      <xdr:spPr>
        <a:xfrm flipH="1">
          <a:off x="9296400" y="14317980"/>
          <a:ext cx="1630680" cy="0"/>
        </a:xfrm>
        <a:prstGeom prst="straightConnector1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</xdr:colOff>
      <xdr:row>74</xdr:row>
      <xdr:rowOff>167640</xdr:rowOff>
    </xdr:from>
    <xdr:to>
      <xdr:col>16</xdr:col>
      <xdr:colOff>579120</xdr:colOff>
      <xdr:row>78</xdr:row>
      <xdr:rowOff>38100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A41A2614-0E0F-434A-A229-EE03A1C82A2A}"/>
            </a:ext>
          </a:extLst>
        </xdr:cNvPr>
        <xdr:cNvSpPr txBox="1"/>
      </xdr:nvSpPr>
      <xdr:spPr>
        <a:xfrm>
          <a:off x="11109960" y="14005560"/>
          <a:ext cx="2209800" cy="62484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>
              <a:solidFill>
                <a:schemeClr val="accent2"/>
              </a:solidFill>
              <a:latin typeface="+mj-lt"/>
            </a:rPr>
            <a:t>Insira aqui os valores para o tempo de reverberação do ambiente sem tratamento acústico</a:t>
          </a:r>
          <a:r>
            <a:rPr lang="pt-BR" sz="1100" baseline="0">
              <a:solidFill>
                <a:schemeClr val="accent2"/>
              </a:solidFill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. 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</xdr:col>
      <xdr:colOff>30480</xdr:colOff>
      <xdr:row>90</xdr:row>
      <xdr:rowOff>7620</xdr:rowOff>
    </xdr:from>
    <xdr:to>
      <xdr:col>1</xdr:col>
      <xdr:colOff>1104900</xdr:colOff>
      <xdr:row>97</xdr:row>
      <xdr:rowOff>182880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BC3AB091-39AD-4D11-83EC-E2BC6F698844}"/>
            </a:ext>
          </a:extLst>
        </xdr:cNvPr>
        <xdr:cNvSpPr txBox="1"/>
      </xdr:nvSpPr>
      <xdr:spPr>
        <a:xfrm>
          <a:off x="182880" y="16863060"/>
          <a:ext cx="1074420" cy="149352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 baseline="0">
              <a:solidFill>
                <a:schemeClr val="accent2"/>
              </a:solidFill>
              <a:latin typeface="+mj-lt"/>
              <a:ea typeface="+mn-ea"/>
              <a:cs typeface="+mn-cs"/>
            </a:rPr>
            <a:t>Gráfico final comparativo a ser inserido no relatório. Se necessário, remover série não pertinente à análise</a:t>
          </a:r>
          <a:r>
            <a:rPr lang="pt-BR" sz="1100" baseline="0">
              <a:solidFill>
                <a:schemeClr val="accent2"/>
              </a:solidFill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. 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14</xdr:col>
      <xdr:colOff>38100</xdr:colOff>
      <xdr:row>110</xdr:row>
      <xdr:rowOff>114300</xdr:rowOff>
    </xdr:from>
    <xdr:to>
      <xdr:col>16</xdr:col>
      <xdr:colOff>586740</xdr:colOff>
      <xdr:row>113</xdr:row>
      <xdr:rowOff>167640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9BC17582-12A7-4B5A-A55B-140D80E26C5B}"/>
            </a:ext>
          </a:extLst>
        </xdr:cNvPr>
        <xdr:cNvSpPr txBox="1"/>
      </xdr:nvSpPr>
      <xdr:spPr>
        <a:xfrm>
          <a:off x="11079480" y="17114520"/>
          <a:ext cx="2209800" cy="62484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 baseline="0">
              <a:solidFill>
                <a:schemeClr val="accent2"/>
              </a:solidFill>
              <a:latin typeface="+mj-lt"/>
              <a:ea typeface="+mn-ea"/>
              <a:cs typeface="+mn-cs"/>
            </a:rPr>
            <a:t>A NBR 12.179 indica uma tolerância de 10% para os resultados obtidos serem considerados satisfatórios</a:t>
          </a:r>
          <a:r>
            <a:rPr lang="pt-BR" sz="1100" baseline="0">
              <a:solidFill>
                <a:schemeClr val="accent2"/>
              </a:solidFill>
              <a:latin typeface="+mj-lt"/>
              <a:ea typeface="Calibri" panose="020F0502020204030204" pitchFamily="34" charset="0"/>
              <a:cs typeface="Calibri" panose="020F0502020204030204" pitchFamily="34" charset="0"/>
            </a:rPr>
            <a:t>. 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12</xdr:col>
      <xdr:colOff>175260</xdr:colOff>
      <xdr:row>111</xdr:row>
      <xdr:rowOff>22860</xdr:rowOff>
    </xdr:from>
    <xdr:to>
      <xdr:col>13</xdr:col>
      <xdr:colOff>350520</xdr:colOff>
      <xdr:row>111</xdr:row>
      <xdr:rowOff>22860</xdr:rowOff>
    </xdr:to>
    <xdr:cxnSp macro="">
      <xdr:nvCxnSpPr>
        <xdr:cNvPr id="17" name="Conector de Seta Reta 16">
          <a:extLst>
            <a:ext uri="{FF2B5EF4-FFF2-40B4-BE49-F238E27FC236}">
              <a16:creationId xmlns:a16="http://schemas.microsoft.com/office/drawing/2014/main" id="{8419D9BA-04E8-4775-8CB3-5FF880AC4345}"/>
            </a:ext>
          </a:extLst>
        </xdr:cNvPr>
        <xdr:cNvCxnSpPr/>
      </xdr:nvCxnSpPr>
      <xdr:spPr>
        <a:xfrm flipH="1">
          <a:off x="9304020" y="17404080"/>
          <a:ext cx="1630680" cy="0"/>
        </a:xfrm>
        <a:prstGeom prst="straightConnector1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586740</xdr:colOff>
      <xdr:row>0</xdr:row>
      <xdr:rowOff>137160</xdr:rowOff>
    </xdr:from>
    <xdr:to>
      <xdr:col>17</xdr:col>
      <xdr:colOff>7620</xdr:colOff>
      <xdr:row>5</xdr:row>
      <xdr:rowOff>175260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7ABE1BD4-CD7E-48F4-8426-164A95F53D9F}"/>
            </a:ext>
          </a:extLst>
        </xdr:cNvPr>
        <xdr:cNvSpPr txBox="1"/>
      </xdr:nvSpPr>
      <xdr:spPr>
        <a:xfrm>
          <a:off x="11628120" y="137160"/>
          <a:ext cx="201168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>
              <a:solidFill>
                <a:schemeClr val="accent2"/>
              </a:solidFill>
              <a:latin typeface="+mj-lt"/>
            </a:rPr>
            <a:t>Insira as dimensões da sala em metros e selecione qual uso</a:t>
          </a:r>
          <a:r>
            <a:rPr lang="pt-BR" sz="1100" baseline="0">
              <a:solidFill>
                <a:schemeClr val="accent2"/>
              </a:solidFill>
              <a:latin typeface="+mj-lt"/>
            </a:rPr>
            <a:t> esperado no ambiente com base na tabela apresentada na NBR 12.179.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16</xdr:col>
      <xdr:colOff>571500</xdr:colOff>
      <xdr:row>6</xdr:row>
      <xdr:rowOff>76200</xdr:rowOff>
    </xdr:from>
    <xdr:to>
      <xdr:col>16</xdr:col>
      <xdr:colOff>571500</xdr:colOff>
      <xdr:row>14</xdr:row>
      <xdr:rowOff>30480</xdr:rowOff>
    </xdr:to>
    <xdr:cxnSp macro="">
      <xdr:nvCxnSpPr>
        <xdr:cNvPr id="24" name="Conector de Seta Reta 23">
          <a:extLst>
            <a:ext uri="{FF2B5EF4-FFF2-40B4-BE49-F238E27FC236}">
              <a16:creationId xmlns:a16="http://schemas.microsoft.com/office/drawing/2014/main" id="{64C395B5-D657-42C3-0393-89B7CD7E6512}"/>
            </a:ext>
          </a:extLst>
        </xdr:cNvPr>
        <xdr:cNvCxnSpPr/>
      </xdr:nvCxnSpPr>
      <xdr:spPr>
        <a:xfrm>
          <a:off x="13274040" y="1173480"/>
          <a:ext cx="0" cy="1432560"/>
        </a:xfrm>
        <a:prstGeom prst="straightConnector1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112299</xdr:colOff>
      <xdr:row>6</xdr:row>
      <xdr:rowOff>91042</xdr:rowOff>
    </xdr:from>
    <xdr:to>
      <xdr:col>16</xdr:col>
      <xdr:colOff>336886</xdr:colOff>
      <xdr:row>8</xdr:row>
      <xdr:rowOff>177262</xdr:rowOff>
    </xdr:to>
    <xdr:cxnSp macro="">
      <xdr:nvCxnSpPr>
        <xdr:cNvPr id="46" name="Conector: Angulado 45">
          <a:extLst>
            <a:ext uri="{FF2B5EF4-FFF2-40B4-BE49-F238E27FC236}">
              <a16:creationId xmlns:a16="http://schemas.microsoft.com/office/drawing/2014/main" id="{C20461D6-B84C-9C67-040C-5B74E1DF9529}"/>
            </a:ext>
          </a:extLst>
        </xdr:cNvPr>
        <xdr:cNvCxnSpPr/>
      </xdr:nvCxnSpPr>
      <xdr:spPr>
        <a:xfrm rot="5400000">
          <a:off x="12697333" y="1305828"/>
          <a:ext cx="459600" cy="224587"/>
        </a:xfrm>
        <a:prstGeom prst="bentConnector3">
          <a:avLst>
            <a:gd name="adj1" fmla="val 100001"/>
          </a:avLst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190500</xdr:colOff>
      <xdr:row>0</xdr:row>
      <xdr:rowOff>121920</xdr:rowOff>
    </xdr:from>
    <xdr:to>
      <xdr:col>13</xdr:col>
      <xdr:colOff>7620</xdr:colOff>
      <xdr:row>5</xdr:row>
      <xdr:rowOff>160020</xdr:rowOff>
    </xdr:to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90A702B7-CBC5-4762-854B-F9E6E52AC009}"/>
            </a:ext>
          </a:extLst>
        </xdr:cNvPr>
        <xdr:cNvSpPr txBox="1"/>
      </xdr:nvSpPr>
      <xdr:spPr>
        <a:xfrm>
          <a:off x="7475220" y="121920"/>
          <a:ext cx="311658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>
              <a:solidFill>
                <a:schemeClr val="accent2"/>
              </a:solidFill>
              <a:latin typeface="+mj-lt"/>
            </a:rPr>
            <a:t>Células</a:t>
          </a:r>
          <a:r>
            <a:rPr lang="pt-BR" sz="1100" baseline="0">
              <a:solidFill>
                <a:schemeClr val="accent2"/>
              </a:solidFill>
              <a:latin typeface="+mj-lt"/>
            </a:rPr>
            <a:t> em azul devem ser preenchidas, células em cinza são calculadas/preenchidas automaticamente. A planilha contém uma base de dados para materiais (m² e unidade) que pode ser atualizada caso não encontre as especificações desejadas.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12</xdr:col>
      <xdr:colOff>1264920</xdr:colOff>
      <xdr:row>6</xdr:row>
      <xdr:rowOff>68580</xdr:rowOff>
    </xdr:from>
    <xdr:to>
      <xdr:col>12</xdr:col>
      <xdr:colOff>1264920</xdr:colOff>
      <xdr:row>7</xdr:row>
      <xdr:rowOff>137160</xdr:rowOff>
    </xdr:to>
    <xdr:cxnSp macro="">
      <xdr:nvCxnSpPr>
        <xdr:cNvPr id="54" name="Conector de Seta Reta 53">
          <a:extLst>
            <a:ext uri="{FF2B5EF4-FFF2-40B4-BE49-F238E27FC236}">
              <a16:creationId xmlns:a16="http://schemas.microsoft.com/office/drawing/2014/main" id="{8050BACF-1571-41A0-8088-29502E2C1A67}"/>
            </a:ext>
          </a:extLst>
        </xdr:cNvPr>
        <xdr:cNvCxnSpPr/>
      </xdr:nvCxnSpPr>
      <xdr:spPr>
        <a:xfrm>
          <a:off x="10393680" y="1165860"/>
          <a:ext cx="0" cy="251460"/>
        </a:xfrm>
        <a:prstGeom prst="straightConnector1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152399</xdr:colOff>
      <xdr:row>0</xdr:row>
      <xdr:rowOff>144780</xdr:rowOff>
    </xdr:from>
    <xdr:to>
      <xdr:col>2</xdr:col>
      <xdr:colOff>15240</xdr:colOff>
      <xdr:row>5</xdr:row>
      <xdr:rowOff>175263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21DF7C01-3B07-67EF-A7B1-EDA0BC953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44780"/>
          <a:ext cx="990601" cy="9906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182879</xdr:rowOff>
    </xdr:from>
    <xdr:to>
      <xdr:col>2</xdr:col>
      <xdr:colOff>38615</xdr:colOff>
      <xdr:row>17</xdr:row>
      <xdr:rowOff>121920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58846A31-1602-935F-CAB0-B2A8FA1B92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52" r="20252"/>
        <a:stretch/>
      </xdr:blipFill>
      <xdr:spPr>
        <a:xfrm>
          <a:off x="0" y="1699259"/>
          <a:ext cx="1318775" cy="160782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</xdr:row>
      <xdr:rowOff>182879</xdr:rowOff>
    </xdr:from>
    <xdr:ext cx="1318775" cy="1607821"/>
    <xdr:pic>
      <xdr:nvPicPr>
        <xdr:cNvPr id="20" name="Imagem 19">
          <a:extLst>
            <a:ext uri="{FF2B5EF4-FFF2-40B4-BE49-F238E27FC236}">
              <a16:creationId xmlns:a16="http://schemas.microsoft.com/office/drawing/2014/main" id="{2562F84A-5F9B-4454-ABE6-80AF2B2B8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2" r="19252"/>
        <a:stretch/>
      </xdr:blipFill>
      <xdr:spPr>
        <a:xfrm>
          <a:off x="0" y="4663439"/>
          <a:ext cx="1318775" cy="160782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182879</xdr:rowOff>
    </xdr:from>
    <xdr:ext cx="1318775" cy="1607821"/>
    <xdr:pic>
      <xdr:nvPicPr>
        <xdr:cNvPr id="25" name="Imagem 24">
          <a:extLst>
            <a:ext uri="{FF2B5EF4-FFF2-40B4-BE49-F238E27FC236}">
              <a16:creationId xmlns:a16="http://schemas.microsoft.com/office/drawing/2014/main" id="{D826E21D-45E4-4E40-B29C-74F5DE5B3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52" r="19252"/>
        <a:stretch/>
      </xdr:blipFill>
      <xdr:spPr>
        <a:xfrm>
          <a:off x="0" y="7627619"/>
          <a:ext cx="1318775" cy="1607821"/>
        </a:xfrm>
        <a:prstGeom prst="rect">
          <a:avLst/>
        </a:prstGeom>
      </xdr:spPr>
    </xdr:pic>
    <xdr:clientData/>
  </xdr:oneCellAnchor>
  <xdr:twoCellAnchor>
    <xdr:from>
      <xdr:col>5</xdr:col>
      <xdr:colOff>22860</xdr:colOff>
      <xdr:row>0</xdr:row>
      <xdr:rowOff>121920</xdr:rowOff>
    </xdr:from>
    <xdr:to>
      <xdr:col>9</xdr:col>
      <xdr:colOff>22860</xdr:colOff>
      <xdr:row>5</xdr:row>
      <xdr:rowOff>160020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CA40850E-6FA3-436E-9554-D1F1C26F5EE1}"/>
            </a:ext>
          </a:extLst>
        </xdr:cNvPr>
        <xdr:cNvSpPr txBox="1"/>
      </xdr:nvSpPr>
      <xdr:spPr>
        <a:xfrm>
          <a:off x="4960620" y="121920"/>
          <a:ext cx="2346960" cy="99822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>
              <a:solidFill>
                <a:schemeClr val="accent2"/>
              </a:solidFill>
              <a:latin typeface="+mj-lt"/>
            </a:rPr>
            <a:t>Fitzroy</a:t>
          </a:r>
          <a:r>
            <a:rPr lang="pt-BR" sz="1100" baseline="0">
              <a:solidFill>
                <a:schemeClr val="accent2"/>
              </a:solidFill>
              <a:latin typeface="+mj-lt"/>
            </a:rPr>
            <a:t> propõe uma fórmula para lidar com uma distribuição não uniforme dos materiais. Para o cálculo, deve-se inserir os materiais separados em 3 pares de superfícies - Eixo X, Y, Z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12</xdr:col>
      <xdr:colOff>167640</xdr:colOff>
      <xdr:row>91</xdr:row>
      <xdr:rowOff>76200</xdr:rowOff>
    </xdr:from>
    <xdr:to>
      <xdr:col>13</xdr:col>
      <xdr:colOff>312420</xdr:colOff>
      <xdr:row>91</xdr:row>
      <xdr:rowOff>76200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6F67F21E-6D50-4695-9705-7A3658AB61C7}"/>
            </a:ext>
          </a:extLst>
        </xdr:cNvPr>
        <xdr:cNvCxnSpPr/>
      </xdr:nvCxnSpPr>
      <xdr:spPr>
        <a:xfrm flipH="1">
          <a:off x="9334500" y="17114520"/>
          <a:ext cx="1600200" cy="0"/>
        </a:xfrm>
        <a:prstGeom prst="straightConnector1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175260</xdr:colOff>
      <xdr:row>96</xdr:row>
      <xdr:rowOff>99060</xdr:rowOff>
    </xdr:from>
    <xdr:to>
      <xdr:col>13</xdr:col>
      <xdr:colOff>350520</xdr:colOff>
      <xdr:row>96</xdr:row>
      <xdr:rowOff>99060</xdr:rowOff>
    </xdr:to>
    <xdr:cxnSp macro="">
      <xdr:nvCxnSpPr>
        <xdr:cNvPr id="11" name="Conector de Seta Reta 10">
          <a:extLst>
            <a:ext uri="{FF2B5EF4-FFF2-40B4-BE49-F238E27FC236}">
              <a16:creationId xmlns:a16="http://schemas.microsoft.com/office/drawing/2014/main" id="{B89FB59F-318C-4DB9-83D8-75729F843846}"/>
            </a:ext>
          </a:extLst>
        </xdr:cNvPr>
        <xdr:cNvCxnSpPr/>
      </xdr:nvCxnSpPr>
      <xdr:spPr>
        <a:xfrm flipH="1">
          <a:off x="9342120" y="18082260"/>
          <a:ext cx="1630680" cy="0"/>
        </a:xfrm>
        <a:prstGeom prst="straightConnector1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872291</xdr:colOff>
      <xdr:row>98</xdr:row>
      <xdr:rowOff>38101</xdr:rowOff>
    </xdr:from>
    <xdr:to>
      <xdr:col>1</xdr:col>
      <xdr:colOff>1051563</xdr:colOff>
      <xdr:row>100</xdr:row>
      <xdr:rowOff>144784</xdr:rowOff>
    </xdr:to>
    <xdr:cxnSp macro="">
      <xdr:nvCxnSpPr>
        <xdr:cNvPr id="21" name="Conector: Angulado 20">
          <a:extLst>
            <a:ext uri="{FF2B5EF4-FFF2-40B4-BE49-F238E27FC236}">
              <a16:creationId xmlns:a16="http://schemas.microsoft.com/office/drawing/2014/main" id="{958D53B5-04D9-4CF6-B75F-B93AFA3150BE}"/>
            </a:ext>
          </a:extLst>
        </xdr:cNvPr>
        <xdr:cNvCxnSpPr/>
      </xdr:nvCxnSpPr>
      <xdr:spPr>
        <a:xfrm rot="16200000" flipH="1">
          <a:off x="870485" y="18556507"/>
          <a:ext cx="487683" cy="179272"/>
        </a:xfrm>
        <a:prstGeom prst="bentConnector3">
          <a:avLst>
            <a:gd name="adj1" fmla="val 100000"/>
          </a:avLst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38100</xdr:colOff>
      <xdr:row>99</xdr:row>
      <xdr:rowOff>132080</xdr:rowOff>
    </xdr:from>
    <xdr:to>
      <xdr:col>17</xdr:col>
      <xdr:colOff>312420</xdr:colOff>
      <xdr:row>104</xdr:row>
      <xdr:rowOff>25400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84709AF0-C9DF-491D-91C3-CC34D3C2DDE5}"/>
            </a:ext>
          </a:extLst>
        </xdr:cNvPr>
        <xdr:cNvSpPr txBox="1"/>
      </xdr:nvSpPr>
      <xdr:spPr>
        <a:xfrm>
          <a:off x="11117580" y="18686780"/>
          <a:ext cx="2865120" cy="84582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 baseline="0">
              <a:solidFill>
                <a:schemeClr val="accent2"/>
              </a:solidFill>
              <a:latin typeface="+mj-lt"/>
              <a:ea typeface="+mn-ea"/>
              <a:cs typeface="+mn-cs"/>
            </a:rPr>
            <a:t>A definição está relacionada à inteligibilidade da fala. O parâmentro mede a razão entre a energia nas primeiras reflexões (50ms) e a energia total da resposta.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12</xdr:col>
      <xdr:colOff>175260</xdr:colOff>
      <xdr:row>102</xdr:row>
      <xdr:rowOff>83820</xdr:rowOff>
    </xdr:from>
    <xdr:to>
      <xdr:col>13</xdr:col>
      <xdr:colOff>350520</xdr:colOff>
      <xdr:row>102</xdr:row>
      <xdr:rowOff>83820</xdr:rowOff>
    </xdr:to>
    <xdr:cxnSp macro="">
      <xdr:nvCxnSpPr>
        <xdr:cNvPr id="28" name="Conector de Seta Reta 27">
          <a:extLst>
            <a:ext uri="{FF2B5EF4-FFF2-40B4-BE49-F238E27FC236}">
              <a16:creationId xmlns:a16="http://schemas.microsoft.com/office/drawing/2014/main" id="{E9B9468B-8953-44E8-AC7A-3F135A96051A}"/>
            </a:ext>
          </a:extLst>
        </xdr:cNvPr>
        <xdr:cNvCxnSpPr/>
      </xdr:nvCxnSpPr>
      <xdr:spPr>
        <a:xfrm flipH="1">
          <a:off x="9342120" y="19210020"/>
          <a:ext cx="1630680" cy="0"/>
        </a:xfrm>
        <a:prstGeom prst="straightConnector1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38100</xdr:colOff>
      <xdr:row>94</xdr:row>
      <xdr:rowOff>5080</xdr:rowOff>
    </xdr:from>
    <xdr:to>
      <xdr:col>17</xdr:col>
      <xdr:colOff>304800</xdr:colOff>
      <xdr:row>99</xdr:row>
      <xdr:rowOff>12700</xdr:rowOff>
    </xdr:to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4B28AE4C-E9BD-1F78-F333-456844243DEB}"/>
            </a:ext>
          </a:extLst>
        </xdr:cNvPr>
        <xdr:cNvSpPr txBox="1"/>
      </xdr:nvSpPr>
      <xdr:spPr>
        <a:xfrm>
          <a:off x="11117580" y="17614900"/>
          <a:ext cx="28575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 baseline="0">
              <a:solidFill>
                <a:schemeClr val="accent2"/>
              </a:solidFill>
              <a:latin typeface="+mj-lt"/>
              <a:ea typeface="+mn-ea"/>
              <a:cs typeface="+mn-cs"/>
            </a:rPr>
            <a:t>A claridade está relacionada à inteligibilidade da música (80ms) e da fala (50ms). O parâmentro mede a razão entre a energia nas primeiras reflexões e a energia contida na cauda reverberante.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14</xdr:col>
      <xdr:colOff>45720</xdr:colOff>
      <xdr:row>104</xdr:row>
      <xdr:rowOff>144780</xdr:rowOff>
    </xdr:from>
    <xdr:to>
      <xdr:col>17</xdr:col>
      <xdr:colOff>304800</xdr:colOff>
      <xdr:row>109</xdr:row>
      <xdr:rowOff>144780</xdr:rowOff>
    </xdr:to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1DA141CF-7817-429A-BBB5-382DD0F832E3}"/>
            </a:ext>
          </a:extLst>
        </xdr:cNvPr>
        <xdr:cNvSpPr txBox="1"/>
      </xdr:nvSpPr>
      <xdr:spPr>
        <a:xfrm>
          <a:off x="11125200" y="19651980"/>
          <a:ext cx="2849880" cy="94488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 baseline="0">
              <a:solidFill>
                <a:schemeClr val="accent2"/>
              </a:solidFill>
              <a:latin typeface="+mj-lt"/>
              <a:ea typeface="+mn-ea"/>
              <a:cs typeface="+mn-cs"/>
            </a:rPr>
            <a:t>O fator de força/ganho é a medida da influência do tempo de reverberação e volume da sala na internsidade percebida do som, considerando a distância entre a fonte e receptor (r).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  <xdr:twoCellAnchor>
    <xdr:from>
      <xdr:col>12</xdr:col>
      <xdr:colOff>182880</xdr:colOff>
      <xdr:row>106</xdr:row>
      <xdr:rowOff>114300</xdr:rowOff>
    </xdr:from>
    <xdr:to>
      <xdr:col>13</xdr:col>
      <xdr:colOff>358140</xdr:colOff>
      <xdr:row>106</xdr:row>
      <xdr:rowOff>114300</xdr:rowOff>
    </xdr:to>
    <xdr:cxnSp macro="">
      <xdr:nvCxnSpPr>
        <xdr:cNvPr id="32" name="Conector de Seta Reta 31">
          <a:extLst>
            <a:ext uri="{FF2B5EF4-FFF2-40B4-BE49-F238E27FC236}">
              <a16:creationId xmlns:a16="http://schemas.microsoft.com/office/drawing/2014/main" id="{85D9FCF6-C915-419B-8D9B-31FCA3746C33}"/>
            </a:ext>
          </a:extLst>
        </xdr:cNvPr>
        <xdr:cNvCxnSpPr/>
      </xdr:nvCxnSpPr>
      <xdr:spPr>
        <a:xfrm flipH="1">
          <a:off x="9349740" y="19987260"/>
          <a:ext cx="1630680" cy="0"/>
        </a:xfrm>
        <a:prstGeom prst="straightConnector1">
          <a:avLst/>
        </a:prstGeom>
        <a:ln>
          <a:solidFill>
            <a:schemeClr val="accent2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</xdr:colOff>
      <xdr:row>89</xdr:row>
      <xdr:rowOff>30480</xdr:rowOff>
    </xdr:from>
    <xdr:to>
      <xdr:col>17</xdr:col>
      <xdr:colOff>289560</xdr:colOff>
      <xdr:row>93</xdr:row>
      <xdr:rowOff>76200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BB9D1B3C-038A-4C43-A4B9-2913C9C57DF6}"/>
            </a:ext>
          </a:extLst>
        </xdr:cNvPr>
        <xdr:cNvSpPr txBox="1"/>
      </xdr:nvSpPr>
      <xdr:spPr>
        <a:xfrm>
          <a:off x="11109960" y="16703040"/>
          <a:ext cx="2849880" cy="79248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100" baseline="0">
              <a:solidFill>
                <a:schemeClr val="accent2"/>
              </a:solidFill>
              <a:latin typeface="+mj-lt"/>
              <a:ea typeface="+mn-ea"/>
              <a:cs typeface="+mn-cs"/>
            </a:rPr>
            <a:t>As razões de graves e agudos são utilizadas para expressar o timbre da sala, são calculadas através da relação entre as frequências altas/baixas e as médias frequências.</a:t>
          </a:r>
          <a:endParaRPr lang="pt-BR" sz="1100">
            <a:solidFill>
              <a:schemeClr val="accent2"/>
            </a:solidFill>
            <a:latin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</xdr:colOff>
      <xdr:row>0</xdr:row>
      <xdr:rowOff>38100</xdr:rowOff>
    </xdr:from>
    <xdr:ext cx="8772525" cy="5276850"/>
    <xdr:pic>
      <xdr:nvPicPr>
        <xdr:cNvPr id="2" name="image1.jpg" descr="p">
          <a:extLst>
            <a:ext uri="{FF2B5EF4-FFF2-40B4-BE49-F238E27FC236}">
              <a16:creationId xmlns:a16="http://schemas.microsoft.com/office/drawing/2014/main" id="{260D03B0-6BE2-4A56-A373-A1BD4C7187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29200" y="38100"/>
          <a:ext cx="8772525" cy="5276850"/>
        </a:xfrm>
        <a:prstGeom prst="rect">
          <a:avLst/>
        </a:prstGeom>
        <a:noFill/>
      </xdr:spPr>
    </xdr:pic>
    <xdr:clientData fLocksWithSheet="0"/>
  </xdr:oneCellAnchor>
  <xdr:twoCellAnchor>
    <xdr:from>
      <xdr:col>8</xdr:col>
      <xdr:colOff>3048</xdr:colOff>
      <xdr:row>29</xdr:row>
      <xdr:rowOff>85344</xdr:rowOff>
    </xdr:from>
    <xdr:to>
      <xdr:col>15</xdr:col>
      <xdr:colOff>307848</xdr:colOff>
      <xdr:row>44</xdr:row>
      <xdr:rowOff>67056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6CFF5B6-DF04-41D9-A33F-D6050A657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A5432AD-502F-48EC-93F2-9DF8E850717C}" name="ABS_PARC_SUP10" displayName="ABS_PARC_SUP10" ref="C9:L38" totalsRowCount="1" headerRowDxfId="97" dataDxfId="95" totalsRowDxfId="94" headerRowBorderDxfId="96">
  <tableColumns count="10">
    <tableColumn id="1" xr3:uid="{53755FA7-F113-42C4-92D3-4FE612CFDD5B}" name="Especificações Materiais" totalsRowLabel="[m².sabin]" dataDxfId="93" totalsRowDxfId="92"/>
    <tableColumn id="2" xr3:uid="{D91F871F-68DA-47E5-817A-01DDEA582EAF}" name="Área [m²]" totalsRowLabel="-" dataDxfId="91" totalsRowDxfId="90"/>
    <tableColumn id="3" xr3:uid="{9BB3E6A5-CEBA-41D2-9AB4-FAC6C66F84FA}" name="125 Hz" totalsRowFunction="custom" dataDxfId="89" totalsRowDxfId="88" dataCellStyle="Vírgula">
      <calculatedColumnFormula>IFERROR(INDEX(BASE_SUPERFÍCIES[125 Hz],MATCH(ABS_PARC_SUP10[[#This Row],[Especificações Materiais]],BASE_SUPERFÍCIES[Materiais],0)), "-")</calculatedColumnFormula>
      <totalsRowFormula>SUMPRODUCT(ABS_PARC_SUP10[Área '[m²']],ABS_PARC_SUP10[125 Hz])</totalsRowFormula>
    </tableColumn>
    <tableColumn id="4" xr3:uid="{BC27A952-4EE2-4133-8F21-7FFD10AFD6E0}" name="250 Hz" totalsRowFunction="custom" dataDxfId="87" totalsRowDxfId="86" dataCellStyle="Vírgula">
      <calculatedColumnFormula>IFERROR(INDEX(BASE_SUPERFÍCIES[250 Hz],MATCH(ABS_PARC_SUP10[[#This Row],[Especificações Materiais]],BASE_SUPERFÍCIES[Materiais],0)),"-")</calculatedColumnFormula>
      <totalsRowFormula>SUMPRODUCT(ABS_PARC_SUP10[Área '[m²']],ABS_PARC_SUP10[250 Hz])</totalsRowFormula>
    </tableColumn>
    <tableColumn id="5" xr3:uid="{ADB8CA33-7BC7-475C-96EF-4435F41AAEED}" name="500 Hz" totalsRowFunction="custom" dataDxfId="85" totalsRowDxfId="84" dataCellStyle="Vírgula">
      <calculatedColumnFormula>IFERROR(INDEX(BASE_SUPERFÍCIES[500 Hz],MATCH(ABS_PARC_SUP10[[#This Row],[Especificações Materiais]],BASE_SUPERFÍCIES[Materiais],0)), "-")</calculatedColumnFormula>
      <totalsRowFormula>SUMPRODUCT(ABS_PARC_SUP10[Área '[m²']],ABS_PARC_SUP10[500 Hz])</totalsRowFormula>
    </tableColumn>
    <tableColumn id="6" xr3:uid="{50E96A91-C601-420B-A44C-ED50BFC1EE5B}" name="1000 Hz" totalsRowFunction="custom" dataDxfId="83" totalsRowDxfId="82" dataCellStyle="Vírgula">
      <calculatedColumnFormula>IFERROR(INDEX(BASE_SUPERFÍCIES[1000 Hz],MATCH(ABS_PARC_SUP10[[#This Row],[Especificações Materiais]],BASE_SUPERFÍCIES[Materiais],0)), "-")</calculatedColumnFormula>
      <totalsRowFormula>SUMPRODUCT(ABS_PARC_SUP10[Área '[m²']],ABS_PARC_SUP10[1000 Hz])</totalsRowFormula>
    </tableColumn>
    <tableColumn id="7" xr3:uid="{618EB01A-6147-4052-B8A2-924988214EF8}" name="2000 Hz" totalsRowFunction="custom" dataDxfId="81" totalsRowDxfId="80" dataCellStyle="Vírgula">
      <calculatedColumnFormula>IFERROR(INDEX(BASE_SUPERFÍCIES[2000 Hz],MATCH(ABS_PARC_SUP10[[#This Row],[Especificações Materiais]],BASE_SUPERFÍCIES[Materiais],0)), "-")</calculatedColumnFormula>
      <totalsRowFormula>SUMPRODUCT(ABS_PARC_SUP10[Área '[m²']],ABS_PARC_SUP10[2000 Hz])</totalsRowFormula>
    </tableColumn>
    <tableColumn id="8" xr3:uid="{DC00763D-B3CB-4A9B-89D7-73E1AC0D743E}" name="4000 Hz" totalsRowFunction="custom" dataDxfId="79" totalsRowDxfId="78" dataCellStyle="Vírgula">
      <calculatedColumnFormula>IFERROR(INDEX(BASE_SUPERFÍCIES[4000 Hz],MATCH(ABS_PARC_SUP10[[#This Row],[Especificações Materiais]],BASE_SUPERFÍCIES[Materiais],0)),"-")</calculatedColumnFormula>
      <totalsRowFormula>SUMPRODUCT(ABS_PARC_SUP10[Área '[m²']],ABS_PARC_SUP10[4000 Hz])</totalsRowFormula>
    </tableColumn>
    <tableColumn id="9" xr3:uid="{8E4BC6C2-FAC1-4D6F-8ED4-E577F4FDCB51}" name="CRR" totalsRowFunction="custom" dataDxfId="77" totalsRowDxfId="76">
      <calculatedColumnFormula>IFERROR(SUM(ABS_PARC_SUP10[[#This Row],[250 Hz]:[2000 Hz]])/4,"-")</calculatedColumnFormula>
      <totalsRowFormula>SUMPRODUCT(ABS_PARC_SUP10[Área '[m²']],ABS_PARC_SUP10[CRR])</totalsRowFormula>
    </tableColumn>
    <tableColumn id="10" xr3:uid="{61401718-89FC-4B5F-8149-3A69A1911F39}" name="Fonte" dataDxfId="75" totalsRowDxfId="74">
      <calculatedColumnFormula>IFERROR(INDEX(BASE_SUPERFÍCIES[Fonte],MATCH(ABS_PARC_SUP10[[#This Row],[Especificações Materiais]],BASE_SUPERFÍCIES[Materiais],0)),"-")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09B58D7-2D5D-4DAE-AB21-38B01C26F268}" name="ABS_PARC_CORP11" displayName="ABS_PARC_CORP11" ref="C43:L51" totalsRowShown="0" headerRowDxfId="73" dataDxfId="71" headerRowBorderDxfId="72" tableBorderDxfId="70">
  <tableColumns count="10">
    <tableColumn id="1" xr3:uid="{0643DC9E-4C00-42AB-961A-CF3454BE7890}" name="Especificações Materiais" dataDxfId="69"/>
    <tableColumn id="2" xr3:uid="{AB180F40-7B23-40D0-9FC3-73DECCC81694}" name="Quant. [Un.]" dataDxfId="68"/>
    <tableColumn id="3" xr3:uid="{3326C18D-DA61-4AAD-BEAD-BAC0ECF45FF3}" name="125 Hz" dataDxfId="67">
      <calculatedColumnFormula>IFERROR(INDEX(BASE_CORPOS[125 Hz],MATCH(ABS_PARC_CORP11[[#This Row],[Especificações Materiais]],BASE_CORPOS[Materiais],0)), "-")</calculatedColumnFormula>
    </tableColumn>
    <tableColumn id="4" xr3:uid="{46C0ED5B-73AC-4909-973F-D27F13B77EC4}" name="250 Hz" dataDxfId="66">
      <calculatedColumnFormula>IFERROR(INDEX(BASE_CORPOS[250 Hz],MATCH(ABS_PARC_CORP11[[#This Row],[Especificações Materiais]],BASE_CORPOS[Materiais],0)), "-")</calculatedColumnFormula>
    </tableColumn>
    <tableColumn id="5" xr3:uid="{0A3959D7-A607-4CC5-A8DD-AD698C0F001A}" name="500 Hz" dataDxfId="65">
      <calculatedColumnFormula>IFERROR(INDEX(BASE_CORPOS[500 Hz],MATCH(ABS_PARC_CORP11[[#This Row],[Especificações Materiais]],BASE_CORPOS[Materiais],0)), "-")</calculatedColumnFormula>
    </tableColumn>
    <tableColumn id="6" xr3:uid="{64806EA3-254E-4A91-BA3A-1FC72BE86BC9}" name="1000 Hz" dataDxfId="64">
      <calculatedColumnFormula>IFERROR(INDEX(BASE_CORPOS[1000 Hz],MATCH(ABS_PARC_CORP11[[#This Row],[Especificações Materiais]],BASE_CORPOS[Materiais],0)), "-")</calculatedColumnFormula>
    </tableColumn>
    <tableColumn id="7" xr3:uid="{AAA1DECD-2BEA-4D84-92E1-A64A85DA4B01}" name="2000 Hz" dataDxfId="63">
      <calculatedColumnFormula>IFERROR(INDEX(BASE_CORPOS[2000 Hz],MATCH(ABS_PARC_CORP11[[#This Row],[Especificações Materiais]],BASE_CORPOS[Materiais],0)), "-")</calculatedColumnFormula>
    </tableColumn>
    <tableColumn id="8" xr3:uid="{9BEF5A4D-F2F5-471A-A995-3069552B9CF8}" name="4000 Hz" dataDxfId="62">
      <calculatedColumnFormula>IFERROR(INDEX(BASE_CORPOS[4000 Hz],MATCH(ABS_PARC_CORP11[[#This Row],[Especificações Materiais]],BASE_CORPOS[Materiais],0)), "-")</calculatedColumnFormula>
    </tableColumn>
    <tableColumn id="9" xr3:uid="{32199306-83AB-4957-A3A8-3ECF5AD0D2A2}" name="CRR" dataDxfId="61">
      <calculatedColumnFormula>IFERROR(SUM(ABS_PARC_CORP11[[#This Row],[250 Hz]:[2000 Hz]])/4,"-")</calculatedColumnFormula>
    </tableColumn>
    <tableColumn id="10" xr3:uid="{2C92C325-DF7F-448D-95A4-2822CACCA6D3}" name="Fonte" dataDxfId="60">
      <calculatedColumnFormula>IFERROR(INDEX(BASE_CORPOS[Fonte],MATCH(ABS_PARC_CORP11[[#This Row],[Especificações Materiais]],BASE_CORPOS[Materiais],0)),"-")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AD5F796-75EF-4B91-AEBF-205EC3113EB7}" name="Tabela712" displayName="Tabela712" ref="R9:S19" totalsRowShown="0" headerRowDxfId="59" dataDxfId="57" headerRowBorderDxfId="58" tableBorderDxfId="56">
  <autoFilter ref="R9:S19" xr:uid="{3A600FE9-FA91-446C-BA9E-2EDC2A819882}"/>
  <tableColumns count="2">
    <tableColumn id="1" xr3:uid="{4C338F12-DB0D-4189-9A2E-4EE8CC0331D0}" name="USOS" dataDxfId="55"/>
    <tableColumn id="2" xr3:uid="{38DF6A7F-1ABD-4150-8757-1774C75A11CB}" name="TRo" dataDxfId="54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B37598E-C5B8-42AD-8BA4-12F7C9191217}" name="Tabela813" displayName="Tabela813" ref="B9:B37" totalsRowShown="0" headerRowDxfId="53" dataDxfId="52" tableBorderDxfId="51">
  <autoFilter ref="B9:B37" xr:uid="{93F0A8A0-7F84-4E9D-8DB4-DCD3E86D3DBC}"/>
  <tableColumns count="1">
    <tableColumn id="1" xr3:uid="{178ACBAB-19A0-4C2D-AFF1-4D18CF6D8030}" name="ID" dataDxfId="50"/>
  </tableColumns>
  <tableStyleInfo name="TableStyleLight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4FA7AF4-A32D-4DD3-AEF8-034B24DA7564}" name="Tabela7" displayName="Tabela7" ref="S9:T19" totalsRowShown="0" headerRowDxfId="49" dataDxfId="47" headerRowBorderDxfId="48" tableBorderDxfId="46" totalsRowBorderDxfId="45">
  <autoFilter ref="S9:T19" xr:uid="{3A600FE9-FA91-446C-BA9E-2EDC2A819882}"/>
  <tableColumns count="2">
    <tableColumn id="1" xr3:uid="{4F47F8E2-1CAC-4560-9D9C-4ED49392D8E9}" name="USOS [NBR 12.179]" dataDxfId="44"/>
    <tableColumn id="2" xr3:uid="{B77A44FC-3AE0-46F3-8E07-70CF81C6D0D2}" name="TRo" dataDxfId="43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31EA3A5-ED83-4899-B0B2-730991064933}" name="BASE_SUPERFÍCIES" displayName="BASE_SUPERFÍCIES" ref="A1:H90" totalsRowShown="0" headerRowDxfId="42" dataDxfId="41" tableBorderDxfId="40">
  <autoFilter ref="A1:H90" xr:uid="{86A17EAF-DB2D-4AE5-BEFF-9C44349125FF}"/>
  <sortState xmlns:xlrd2="http://schemas.microsoft.com/office/spreadsheetml/2017/richdata2" ref="A2:H90">
    <sortCondition ref="A1:A90"/>
  </sortState>
  <tableColumns count="8">
    <tableColumn id="1" xr3:uid="{9ABA101C-37B8-4462-8A5F-D5B608823EBD}" name="Materiais" dataDxfId="39" totalsRowDxfId="38"/>
    <tableColumn id="2" xr3:uid="{537F0570-E410-40FC-AAD2-10FF9A723119}" name="125 Hz" dataDxfId="37"/>
    <tableColumn id="3" xr3:uid="{A1FA76B8-0621-45A0-85A2-B8AAEE46A10A}" name="250 Hz" dataDxfId="36"/>
    <tableColumn id="4" xr3:uid="{10C35FDD-1DF6-482C-BF2B-9868E0F8B4BF}" name="500 Hz" dataDxfId="35"/>
    <tableColumn id="5" xr3:uid="{A5BE7637-78C0-4E33-AF52-7DAF34518F16}" name="1000 Hz" dataDxfId="34"/>
    <tableColumn id="6" xr3:uid="{FDA6DD13-F87D-40D0-BE2C-CA1E7013BCCB}" name="2000 Hz" dataDxfId="33"/>
    <tableColumn id="7" xr3:uid="{0266453E-D77F-4984-9CEB-5C31CA73C9A8}" name="4000 Hz" dataDxfId="32"/>
    <tableColumn id="8" xr3:uid="{3820A023-09E3-4A7D-8A59-D8280A0A217C}" name="Fonte" dataDxfId="31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5ADF6B-594B-48CE-A531-5BA1E5EC1A97}" name="BASE_CORPOS" displayName="BASE_CORPOS" ref="A1:H30" totalsRowShown="0" headerRowDxfId="30" dataDxfId="29" tableBorderDxfId="28">
  <autoFilter ref="A1:H30" xr:uid="{FBAD2A6D-FC08-438A-9080-16285BC45033}"/>
  <sortState xmlns:xlrd2="http://schemas.microsoft.com/office/spreadsheetml/2017/richdata2" ref="A2:H30">
    <sortCondition ref="A1:A30"/>
  </sortState>
  <tableColumns count="8">
    <tableColumn id="1" xr3:uid="{FD44E67F-EDF0-4188-BF76-D17B99C58A74}" name="Materiais" dataDxfId="27"/>
    <tableColumn id="2" xr3:uid="{E6B0F687-598E-4B3B-82EB-236843C1F209}" name="125 Hz" dataDxfId="26"/>
    <tableColumn id="3" xr3:uid="{D7EB5728-6467-4B23-8727-512477B9F196}" name="250 Hz" dataDxfId="25"/>
    <tableColumn id="4" xr3:uid="{F46DC865-FCC9-49CC-81C7-B339004776DA}" name="500 Hz" dataDxfId="24"/>
    <tableColumn id="5" xr3:uid="{2A732D32-8C7A-4FB0-ADD7-7CF53AD9643A}" name="1000 Hz" dataDxfId="23"/>
    <tableColumn id="6" xr3:uid="{32BA59D8-CD3F-4521-8208-2DD7E0332714}" name="2000 Hz" dataDxfId="22"/>
    <tableColumn id="7" xr3:uid="{987E0149-E06F-4227-BB4B-A27FA59E2EED}" name="4000 Hz" dataDxfId="21"/>
    <tableColumn id="8" xr3:uid="{5C5873D3-E123-438A-A4D6-D93881CD6B94}" name="Fonte" dataDxfId="2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FC11F7-6FAB-4696-9BE0-FCFDAD4C1D51}" name="TR_ÓTIMO_CRESC" displayName="TR_ÓTIMO_CRESC" ref="B2:G30" totalsRowShown="0" headerRowDxfId="19" dataDxfId="17" headerRowBorderDxfId="18" tableBorderDxfId="16">
  <tableColumns count="6">
    <tableColumn id="1" xr3:uid="{1506E3E4-3D71-4E37-B503-01A9BA242107}" name="V" dataDxfId="15"/>
    <tableColumn id="2" xr3:uid="{D2EED8CF-43AE-434B-8075-E908D887461A}" name="TR1" dataDxfId="14"/>
    <tableColumn id="3" xr3:uid="{E0D5CC07-D773-466B-AC78-97BB951C3731}" name="TR2" dataDxfId="13"/>
    <tableColumn id="4" xr3:uid="{C2C1C3BA-BFEE-4618-90D5-837ECF6E69CC}" name="TR3" dataDxfId="12"/>
    <tableColumn id="5" xr3:uid="{9A5A21F4-8D8C-47B8-80FB-A8AF20292F2A}" name="TR4" dataDxfId="11"/>
    <tableColumn id="6" xr3:uid="{C9A06594-CAA0-4353-96A2-695D7DE95659}" name="TR5" dataDxfId="10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42598A-3D27-4FD5-8070-4E8E01F3DC55}" name="TR_ÓTIMO_DECRESC" displayName="TR_ÓTIMO_DECRESC" ref="B32:G60" totalsRowShown="0" headerRowDxfId="9" dataDxfId="7" headerRowBorderDxfId="8" tableBorderDxfId="6">
  <autoFilter ref="B32:G60" xr:uid="{3988390E-CA65-4D15-BEFF-04D5300ECCE1}"/>
  <sortState xmlns:xlrd2="http://schemas.microsoft.com/office/spreadsheetml/2017/richdata2" ref="B33:G60">
    <sortCondition descending="1" ref="B32:B60"/>
  </sortState>
  <tableColumns count="6">
    <tableColumn id="1" xr3:uid="{98878813-C67C-4475-ADE8-7A36113C13BB}" name="V" dataDxfId="5"/>
    <tableColumn id="2" xr3:uid="{A318663D-E4C8-43B6-B7A9-2D1EB42ECC87}" name="TR1" dataDxfId="4"/>
    <tableColumn id="3" xr3:uid="{AE95710E-93A9-4FE7-9DF7-678E661554F0}" name="TR2" dataDxfId="3"/>
    <tableColumn id="4" xr3:uid="{79ACCF44-ECF7-4CCB-AB5C-D429065B75B2}" name="TR3" dataDxfId="2"/>
    <tableColumn id="5" xr3:uid="{9EA046CF-0FC3-4680-8544-CB683EE99C2B}" name="TR4" dataDxfId="1"/>
    <tableColumn id="6" xr3:uid="{541E7E8B-3B4B-4549-988E-620FADCD7845}" name="TR5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table" Target="../tables/table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rqfm.com/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rqfm.com/" TargetMode="Externa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80DF0-E203-464C-9BF6-E7C47F02ED18}">
  <dimension ref="B2:S121"/>
  <sheetViews>
    <sheetView showGridLines="0" tabSelected="1" zoomScaleNormal="100" workbookViewId="0">
      <selection activeCell="C19" sqref="C19"/>
    </sheetView>
  </sheetViews>
  <sheetFormatPr defaultRowHeight="14.4" x14ac:dyDescent="0.3"/>
  <cols>
    <col min="1" max="1" width="2.21875" style="42" customWidth="1"/>
    <col min="2" max="2" width="20" style="42" customWidth="1"/>
    <col min="3" max="3" width="38.5546875" style="42" customWidth="1"/>
    <col min="4" max="4" width="11.21875" style="42" customWidth="1"/>
    <col min="5" max="10" width="8.5546875" style="42" bestFit="1" customWidth="1"/>
    <col min="11" max="11" width="9.77734375" style="42" bestFit="1" customWidth="1"/>
    <col min="12" max="12" width="21.21875" style="1" customWidth="1"/>
    <col min="13" max="13" width="6.6640625" style="42" customWidth="1"/>
    <col min="14" max="14" width="16.6640625" style="42" customWidth="1"/>
    <col min="15" max="15" width="7.5546875" style="42" customWidth="1"/>
    <col min="16" max="16" width="13.5546875" style="42" customWidth="1"/>
    <col min="17" max="17" width="8.88671875" style="42"/>
    <col min="18" max="18" width="30" style="42" hidden="1" customWidth="1"/>
    <col min="19" max="19" width="8.6640625" style="1" hidden="1" customWidth="1"/>
    <col min="20" max="16384" width="8.88671875" style="42"/>
  </cols>
  <sheetData>
    <row r="2" spans="2:19" ht="14.4" customHeight="1" x14ac:dyDescent="0.3">
      <c r="C2" s="215" t="s">
        <v>204</v>
      </c>
      <c r="D2" s="215"/>
      <c r="E2" s="172"/>
      <c r="F2" s="172"/>
      <c r="G2" s="172"/>
    </row>
    <row r="3" spans="2:19" ht="14.4" customHeight="1" x14ac:dyDescent="0.3">
      <c r="C3" s="215"/>
      <c r="D3" s="215"/>
      <c r="E3" s="172"/>
      <c r="F3" s="172"/>
      <c r="G3" s="172"/>
    </row>
    <row r="4" spans="2:19" ht="18" x14ac:dyDescent="0.3">
      <c r="C4" s="173" t="s">
        <v>205</v>
      </c>
    </row>
    <row r="5" spans="2:19" x14ac:dyDescent="0.2">
      <c r="C5" s="174" t="s">
        <v>206</v>
      </c>
    </row>
    <row r="6" spans="2:19" x14ac:dyDescent="0.3">
      <c r="E6" s="165"/>
      <c r="F6" s="165"/>
      <c r="G6" s="165"/>
      <c r="H6" s="165"/>
      <c r="I6" s="165"/>
      <c r="J6" s="165"/>
    </row>
    <row r="7" spans="2:19" x14ac:dyDescent="0.3">
      <c r="C7" s="75" t="s">
        <v>72</v>
      </c>
    </row>
    <row r="8" spans="2:19" ht="15" thickBot="1" x14ac:dyDescent="0.35"/>
    <row r="9" spans="2:19" ht="15" thickBot="1" x14ac:dyDescent="0.35">
      <c r="B9" s="76" t="s">
        <v>119</v>
      </c>
      <c r="C9" s="77" t="s">
        <v>68</v>
      </c>
      <c r="D9" s="3" t="s">
        <v>74</v>
      </c>
      <c r="E9" s="3" t="s">
        <v>62</v>
      </c>
      <c r="F9" s="3" t="s">
        <v>63</v>
      </c>
      <c r="G9" s="3" t="s">
        <v>65</v>
      </c>
      <c r="H9" s="3" t="s">
        <v>64</v>
      </c>
      <c r="I9" s="3" t="s">
        <v>66</v>
      </c>
      <c r="J9" s="3" t="s">
        <v>67</v>
      </c>
      <c r="K9" s="3" t="s">
        <v>69</v>
      </c>
      <c r="L9" s="4" t="s">
        <v>70</v>
      </c>
      <c r="N9" s="164" t="s">
        <v>175</v>
      </c>
      <c r="O9" s="163">
        <v>9.6</v>
      </c>
      <c r="R9" s="78" t="s">
        <v>86</v>
      </c>
      <c r="S9" s="43" t="s">
        <v>104</v>
      </c>
    </row>
    <row r="10" spans="2:19" x14ac:dyDescent="0.3">
      <c r="B10" s="79" t="s">
        <v>191</v>
      </c>
      <c r="C10" s="88" t="s">
        <v>7</v>
      </c>
      <c r="D10" s="69">
        <f>O10*O11</f>
        <v>33.28</v>
      </c>
      <c r="E10" s="18">
        <f>IFERROR(INDEX(BASE_SUPERFÍCIES[125 Hz],MATCH(ABS_PARC_SUP10[[#This Row],[Especificações Materiais]],BASE_SUPERFÍCIES[Materiais],0)), "-")</f>
        <v>0.02</v>
      </c>
      <c r="F10" s="19">
        <f>IFERROR(INDEX(BASE_SUPERFÍCIES[250 Hz],MATCH(ABS_PARC_SUP10[[#This Row],[Especificações Materiais]],BASE_SUPERFÍCIES[Materiais],0)),"-")</f>
        <v>0.02</v>
      </c>
      <c r="G10" s="19">
        <f>IFERROR(INDEX(BASE_SUPERFÍCIES[500 Hz],MATCH(ABS_PARC_SUP10[[#This Row],[Especificações Materiais]],BASE_SUPERFÍCIES[Materiais],0)), "-")</f>
        <v>0.02</v>
      </c>
      <c r="H10" s="19">
        <f>IFERROR(INDEX(BASE_SUPERFÍCIES[1000 Hz],MATCH(ABS_PARC_SUP10[[#This Row],[Especificações Materiais]],BASE_SUPERFÍCIES[Materiais],0)), "-")</f>
        <v>0.02</v>
      </c>
      <c r="I10" s="19">
        <f>IFERROR(INDEX(BASE_SUPERFÍCIES[2000 Hz],MATCH(ABS_PARC_SUP10[[#This Row],[Especificações Materiais]],BASE_SUPERFÍCIES[Materiais],0)), "-")</f>
        <v>0.03</v>
      </c>
      <c r="J10" s="20">
        <f>IFERROR(INDEX(BASE_SUPERFÍCIES[4000 Hz],MATCH(ABS_PARC_SUP10[[#This Row],[Especificações Materiais]],BASE_SUPERFÍCIES[Materiais],0)),"-")</f>
        <v>0.06</v>
      </c>
      <c r="K10" s="44">
        <f>IFERROR(SUM(ABS_PARC_SUP10[[#This Row],[250 Hz]:[2000 Hz]])/4,"-")</f>
        <v>2.2499999999999999E-2</v>
      </c>
      <c r="L10" s="64" t="str">
        <f>IFERROR(INDEX(BASE_SUPERFÍCIES[Fonte],MATCH(ABS_PARC_SUP10[[#This Row],[Especificações Materiais]],BASE_SUPERFÍCIES[Materiais],0)),"-")</f>
        <v>USP - AUT0280; 2018</v>
      </c>
      <c r="N10" s="164" t="s">
        <v>176</v>
      </c>
      <c r="O10" s="163">
        <v>6.4</v>
      </c>
      <c r="R10" s="80" t="s">
        <v>88</v>
      </c>
      <c r="S10" s="44">
        <f>INDEX(TR_ÓTIMO_CRESC[TR1],MATCH($O$14+0.1,TR_ÓTIMO_CRESC[V],1))+($O$14+0.1-INDEX(TR_ÓTIMO_CRESC[V],MATCH($O$14+0.1,TR_ÓTIMO_CRESC[V],1)))*((INDEX(TR_ÓTIMO_DECRESC[TR1],MATCH($O$14+0.1,TR_ÓTIMO_DECRESC[V],-1))-INDEX(TR_ÓTIMO_CRESC[TR1],MATCH($O$14+0.1,TR_ÓTIMO_CRESC[V],1)))/(INDEX(TR_ÓTIMO_DECRESC[V],MATCH($O$14+0.1,TR_ÓTIMO_DECRESC[V],-1))-INDEX(TR_ÓTIMO_CRESC[V],MATCH($O$14+0.1,TR_ÓTIMO_CRESC[V],1))))</f>
        <v>0.59587639999999997</v>
      </c>
    </row>
    <row r="11" spans="2:19" x14ac:dyDescent="0.3">
      <c r="B11" s="81" t="s">
        <v>190</v>
      </c>
      <c r="C11" s="82" t="s">
        <v>7</v>
      </c>
      <c r="D11" s="70">
        <f>O10*O11-D14</f>
        <v>31.6</v>
      </c>
      <c r="E11" s="21">
        <f>IFERROR(INDEX(BASE_SUPERFÍCIES[125 Hz],MATCH(ABS_PARC_SUP10[[#This Row],[Especificações Materiais]],BASE_SUPERFÍCIES[Materiais],0)), "-")</f>
        <v>0.02</v>
      </c>
      <c r="F11" s="22">
        <f>IFERROR(INDEX(BASE_SUPERFÍCIES[250 Hz],MATCH(ABS_PARC_SUP10[[#This Row],[Especificações Materiais]],BASE_SUPERFÍCIES[Materiais],0)),"-")</f>
        <v>0.02</v>
      </c>
      <c r="G11" s="22">
        <f>IFERROR(INDEX(BASE_SUPERFÍCIES[500 Hz],MATCH(ABS_PARC_SUP10[[#This Row],[Especificações Materiais]],BASE_SUPERFÍCIES[Materiais],0)), "-")</f>
        <v>0.02</v>
      </c>
      <c r="H11" s="22">
        <f>IFERROR(INDEX(BASE_SUPERFÍCIES[1000 Hz],MATCH(ABS_PARC_SUP10[[#This Row],[Especificações Materiais]],BASE_SUPERFÍCIES[Materiais],0)), "-")</f>
        <v>0.02</v>
      </c>
      <c r="I11" s="22">
        <f>IFERROR(INDEX(BASE_SUPERFÍCIES[2000 Hz],MATCH(ABS_PARC_SUP10[[#This Row],[Especificações Materiais]],BASE_SUPERFÍCIES[Materiais],0)), "-")</f>
        <v>0.03</v>
      </c>
      <c r="J11" s="23">
        <f>IFERROR(INDEX(BASE_SUPERFÍCIES[4000 Hz],MATCH(ABS_PARC_SUP10[[#This Row],[Especificações Materiais]],BASE_SUPERFÍCIES[Materiais],0)),"-")</f>
        <v>0.06</v>
      </c>
      <c r="K11" s="61">
        <f>IFERROR(SUM(ABS_PARC_SUP10[[#This Row],[250 Hz]:[2000 Hz]])/4,"-")</f>
        <v>2.2499999999999999E-2</v>
      </c>
      <c r="L11" s="65" t="str">
        <f>IFERROR(INDEX(BASE_SUPERFÍCIES[Fonte],MATCH(ABS_PARC_SUP10[[#This Row],[Especificações Materiais]],BASE_SUPERFÍCIES[Materiais],0)),"-")</f>
        <v>USP - AUT0280; 2018</v>
      </c>
      <c r="N11" s="164" t="s">
        <v>174</v>
      </c>
      <c r="O11" s="163">
        <v>5.2</v>
      </c>
      <c r="R11" s="83" t="s">
        <v>89</v>
      </c>
      <c r="S11" s="45">
        <f>INDEX(TR_ÓTIMO_CRESC[TR2],MATCH($O$14+0.1,TR_ÓTIMO_CRESC[V],1))+($O$14+0.1-INDEX(TR_ÓTIMO_CRESC[V],MATCH($O$14+0.1,TR_ÓTIMO_CRESC[V],1)))*((INDEX(TR_ÓTIMO_DECRESC[TR2],MATCH($O$14+0.1,TR_ÓTIMO_DECRESC[V],-1))-INDEX(TR_ÓTIMO_CRESC[TR2],MATCH($O$14+0.1,TR_ÓTIMO_CRESC[V],1)))/(INDEX(TR_ÓTIMO_DECRESC[V],MATCH($O$14+0.1,TR_ÓTIMO_DECRESC[V],-1))-INDEX(TR_ÓTIMO_CRESC[V],MATCH($O$14+0.1,TR_ÓTIMO_CRESC[V],1))))</f>
        <v>0.70522346666666669</v>
      </c>
    </row>
    <row r="12" spans="2:19" x14ac:dyDescent="0.3">
      <c r="B12" s="79" t="s">
        <v>192</v>
      </c>
      <c r="C12" s="88" t="s">
        <v>7</v>
      </c>
      <c r="D12" s="71">
        <f>O9*O11</f>
        <v>49.92</v>
      </c>
      <c r="E12" s="21">
        <f>IFERROR(INDEX(BASE_SUPERFÍCIES[125 Hz],MATCH(ABS_PARC_SUP10[[#This Row],[Especificações Materiais]],BASE_SUPERFÍCIES[Materiais],0)), "-")</f>
        <v>0.02</v>
      </c>
      <c r="F12" s="22">
        <f>IFERROR(INDEX(BASE_SUPERFÍCIES[250 Hz],MATCH(ABS_PARC_SUP10[[#This Row],[Especificações Materiais]],BASE_SUPERFÍCIES[Materiais],0)),"-")</f>
        <v>0.02</v>
      </c>
      <c r="G12" s="22">
        <f>IFERROR(INDEX(BASE_SUPERFÍCIES[500 Hz],MATCH(ABS_PARC_SUP10[[#This Row],[Especificações Materiais]],BASE_SUPERFÍCIES[Materiais],0)), "-")</f>
        <v>0.02</v>
      </c>
      <c r="H12" s="22">
        <f>IFERROR(INDEX(BASE_SUPERFÍCIES[1000 Hz],MATCH(ABS_PARC_SUP10[[#This Row],[Especificações Materiais]],BASE_SUPERFÍCIES[Materiais],0)), "-")</f>
        <v>0.02</v>
      </c>
      <c r="I12" s="22">
        <f>IFERROR(INDEX(BASE_SUPERFÍCIES[2000 Hz],MATCH(ABS_PARC_SUP10[[#This Row],[Especificações Materiais]],BASE_SUPERFÍCIES[Materiais],0)), "-")</f>
        <v>0.03</v>
      </c>
      <c r="J12" s="23">
        <f>IFERROR(INDEX(BASE_SUPERFÍCIES[4000 Hz],MATCH(ABS_PARC_SUP10[[#This Row],[Especificações Materiais]],BASE_SUPERFÍCIES[Materiais],0)),"-")</f>
        <v>0.06</v>
      </c>
      <c r="K12" s="61">
        <f>IFERROR(SUM(ABS_PARC_SUP10[[#This Row],[250 Hz]:[2000 Hz]])/4,"-")</f>
        <v>2.2499999999999999E-2</v>
      </c>
      <c r="L12" s="66" t="str">
        <f>IFERROR(INDEX(BASE_SUPERFÍCIES[Fonte],MATCH(ABS_PARC_SUP10[[#This Row],[Especificações Materiais]],BASE_SUPERFÍCIES[Materiais],0)),"-")</f>
        <v>USP - AUT0280; 2018</v>
      </c>
      <c r="R12" s="83" t="s">
        <v>90</v>
      </c>
      <c r="S12" s="45">
        <f>INDEX(TR_ÓTIMO_CRESC[TR2],MATCH($O$14+0.1,TR_ÓTIMO_CRESC[V],1))+($O$14+0.1-INDEX(TR_ÓTIMO_CRESC[V],MATCH($O$14+0.1,TR_ÓTIMO_CRESC[V],1)))*((INDEX(TR_ÓTIMO_DECRESC[TR2],MATCH($O$14+0.1,TR_ÓTIMO_DECRESC[V],-1))-INDEX(TR_ÓTIMO_CRESC[TR2],MATCH($O$14+0.1,TR_ÓTIMO_CRESC[V],1)))/(INDEX(TR_ÓTIMO_DECRESC[V],MATCH($O$14+0.1,TR_ÓTIMO_DECRESC[V],-1))-INDEX(TR_ÓTIMO_CRESC[V],MATCH($O$14+0.1,TR_ÓTIMO_CRESC[V],1))))</f>
        <v>0.70522346666666669</v>
      </c>
    </row>
    <row r="13" spans="2:19" x14ac:dyDescent="0.3">
      <c r="B13" s="81" t="s">
        <v>193</v>
      </c>
      <c r="C13" s="82" t="s">
        <v>7</v>
      </c>
      <c r="D13" s="70">
        <f>O9*O11-D15-D18</f>
        <v>26.880000000000006</v>
      </c>
      <c r="E13" s="21">
        <f>IFERROR(INDEX(BASE_SUPERFÍCIES[125 Hz],MATCH(ABS_PARC_SUP10[[#This Row],[Especificações Materiais]],BASE_SUPERFÍCIES[Materiais],0)), "-")</f>
        <v>0.02</v>
      </c>
      <c r="F13" s="22">
        <f>IFERROR(INDEX(BASE_SUPERFÍCIES[250 Hz],MATCH(ABS_PARC_SUP10[[#This Row],[Especificações Materiais]],BASE_SUPERFÍCIES[Materiais],0)),"-")</f>
        <v>0.02</v>
      </c>
      <c r="G13" s="22">
        <f>IFERROR(INDEX(BASE_SUPERFÍCIES[500 Hz],MATCH(ABS_PARC_SUP10[[#This Row],[Especificações Materiais]],BASE_SUPERFÍCIES[Materiais],0)), "-")</f>
        <v>0.02</v>
      </c>
      <c r="H13" s="22">
        <f>IFERROR(INDEX(BASE_SUPERFÍCIES[1000 Hz],MATCH(ABS_PARC_SUP10[[#This Row],[Especificações Materiais]],BASE_SUPERFÍCIES[Materiais],0)), "-")</f>
        <v>0.02</v>
      </c>
      <c r="I13" s="22">
        <f>IFERROR(INDEX(BASE_SUPERFÍCIES[2000 Hz],MATCH(ABS_PARC_SUP10[[#This Row],[Especificações Materiais]],BASE_SUPERFÍCIES[Materiais],0)), "-")</f>
        <v>0.03</v>
      </c>
      <c r="J13" s="23">
        <f>IFERROR(INDEX(BASE_SUPERFÍCIES[4000 Hz],MATCH(ABS_PARC_SUP10[[#This Row],[Especificações Materiais]],BASE_SUPERFÍCIES[Materiais],0)),"-")</f>
        <v>0.06</v>
      </c>
      <c r="K13" s="61">
        <f>IFERROR(SUM(ABS_PARC_SUP10[[#This Row],[250 Hz]:[2000 Hz]])/4,"-")</f>
        <v>2.2499999999999999E-2</v>
      </c>
      <c r="L13" s="66" t="str">
        <f>IFERROR(INDEX(BASE_SUPERFÍCIES[Fonte],MATCH(ABS_PARC_SUP10[[#This Row],[Especificações Materiais]],BASE_SUPERFÍCIES[Materiais],0)),"-")</f>
        <v>USP - AUT0280; 2018</v>
      </c>
      <c r="N13" s="167" t="s">
        <v>187</v>
      </c>
      <c r="O13" s="170">
        <f>2*((O9*O10)+(O9*O11)+(O10*O11))</f>
        <v>289.27999999999997</v>
      </c>
      <c r="R13" s="83" t="s">
        <v>91</v>
      </c>
      <c r="S13" s="45">
        <f>INDEX(TR_ÓTIMO_CRESC[TR3],MATCH($O$14+0.1,TR_ÓTIMO_CRESC[V],1))+($O$14+0.1-INDEX(TR_ÓTIMO_CRESC[V],MATCH($O$14+0.1,TR_ÓTIMO_CRESC[V],1)))*((INDEX(TR_ÓTIMO_DECRESC[TR3],MATCH($O$14+0.1,TR_ÓTIMO_DECRESC[V],-1))-INDEX(TR_ÓTIMO_CRESC[TR3],MATCH($O$14+0.1,TR_ÓTIMO_CRESC[V],1)))/(INDEX(TR_ÓTIMO_DECRESC[V],MATCH($O$14+0.1,TR_ÓTIMO_DECRESC[V],-1))-INDEX(TR_ÓTIMO_CRESC[V],MATCH($O$14+0.1,TR_ÓTIMO_CRESC[V],1))))</f>
        <v>0.86914106666666668</v>
      </c>
    </row>
    <row r="14" spans="2:19" x14ac:dyDescent="0.3">
      <c r="B14" s="84" t="s">
        <v>194</v>
      </c>
      <c r="C14" s="88" t="s">
        <v>195</v>
      </c>
      <c r="D14" s="71">
        <f>2.1*0.8</f>
        <v>1.6800000000000002</v>
      </c>
      <c r="E14" s="21">
        <f>IFERROR(INDEX(BASE_SUPERFÍCIES[125 Hz],MATCH(ABS_PARC_SUP10[[#This Row],[Especificações Materiais]],BASE_SUPERFÍCIES[Materiais],0)), "-")</f>
        <v>0.14000000000000001</v>
      </c>
      <c r="F14" s="22">
        <f>IFERROR(INDEX(BASE_SUPERFÍCIES[250 Hz],MATCH(ABS_PARC_SUP10[[#This Row],[Especificações Materiais]],BASE_SUPERFÍCIES[Materiais],0)),"-")</f>
        <v>0.1</v>
      </c>
      <c r="G14" s="22">
        <f>IFERROR(INDEX(BASE_SUPERFÍCIES[500 Hz],MATCH(ABS_PARC_SUP10[[#This Row],[Especificações Materiais]],BASE_SUPERFÍCIES[Materiais],0)), "-")</f>
        <v>0.06</v>
      </c>
      <c r="H14" s="22">
        <f>IFERROR(INDEX(BASE_SUPERFÍCIES[1000 Hz],MATCH(ABS_PARC_SUP10[[#This Row],[Especificações Materiais]],BASE_SUPERFÍCIES[Materiais],0)), "-")</f>
        <v>0.08</v>
      </c>
      <c r="I14" s="22">
        <f>IFERROR(INDEX(BASE_SUPERFÍCIES[2000 Hz],MATCH(ABS_PARC_SUP10[[#This Row],[Especificações Materiais]],BASE_SUPERFÍCIES[Materiais],0)), "-")</f>
        <v>0.1</v>
      </c>
      <c r="J14" s="23">
        <f>IFERROR(INDEX(BASE_SUPERFÍCIES[4000 Hz],MATCH(ABS_PARC_SUP10[[#This Row],[Especificações Materiais]],BASE_SUPERFÍCIES[Materiais],0)),"-")</f>
        <v>0.1</v>
      </c>
      <c r="K14" s="61">
        <f>IFERROR(SUM(ABS_PARC_SUP10[[#This Row],[250 Hz]:[2000 Hz]])/4,"-")</f>
        <v>8.4999999999999992E-2</v>
      </c>
      <c r="L14" s="66" t="str">
        <f>IFERROR(INDEX(BASE_SUPERFÍCIES[Fonte],MATCH(ABS_PARC_SUP10[[#This Row],[Especificações Materiais]],BASE_SUPERFÍCIES[Materiais],0)),"-")</f>
        <v>USP - AUT0280; 2018</v>
      </c>
      <c r="N14" s="167" t="s">
        <v>85</v>
      </c>
      <c r="O14" s="170">
        <f>O9*O10*O11</f>
        <v>319.488</v>
      </c>
      <c r="R14" s="83" t="s">
        <v>92</v>
      </c>
      <c r="S14" s="45">
        <f>INDEX(TR_ÓTIMO_CRESC[TR3],MATCH($O$14+0.1,TR_ÓTIMO_CRESC[V],1))+($O$14+0.1-INDEX(TR_ÓTIMO_CRESC[V],MATCH($O$14+0.1,TR_ÓTIMO_CRESC[V],1)))*((INDEX(TR_ÓTIMO_DECRESC[TR3],MATCH($O$14+0.1,TR_ÓTIMO_DECRESC[V],-1))-INDEX(TR_ÓTIMO_CRESC[TR3],MATCH($O$14+0.1,TR_ÓTIMO_CRESC[V],1)))/(INDEX(TR_ÓTIMO_DECRESC[V],MATCH($O$14+0.1,TR_ÓTIMO_DECRESC[V],-1))-INDEX(TR_ÓTIMO_CRESC[V],MATCH($O$14+0.1,TR_ÓTIMO_CRESC[V],1))))</f>
        <v>0.86914106666666668</v>
      </c>
    </row>
    <row r="15" spans="2:19" x14ac:dyDescent="0.3">
      <c r="B15" s="81" t="s">
        <v>196</v>
      </c>
      <c r="C15" s="82" t="s">
        <v>131</v>
      </c>
      <c r="D15" s="70">
        <f>4*1.2*2.4</f>
        <v>11.52</v>
      </c>
      <c r="E15" s="21">
        <f>IFERROR(INDEX(BASE_SUPERFÍCIES[125 Hz],MATCH(ABS_PARC_SUP10[[#This Row],[Especificações Materiais]],BASE_SUPERFÍCIES[Materiais],0)), "-")</f>
        <v>0.18</v>
      </c>
      <c r="F15" s="22">
        <f>IFERROR(INDEX(BASE_SUPERFÍCIES[250 Hz],MATCH(ABS_PARC_SUP10[[#This Row],[Especificações Materiais]],BASE_SUPERFÍCIES[Materiais],0)),"-")</f>
        <v>0.06</v>
      </c>
      <c r="G15" s="22">
        <f>IFERROR(INDEX(BASE_SUPERFÍCIES[500 Hz],MATCH(ABS_PARC_SUP10[[#This Row],[Especificações Materiais]],BASE_SUPERFÍCIES[Materiais],0)), "-")</f>
        <v>0.04</v>
      </c>
      <c r="H15" s="22">
        <f>IFERROR(INDEX(BASE_SUPERFÍCIES[1000 Hz],MATCH(ABS_PARC_SUP10[[#This Row],[Especificações Materiais]],BASE_SUPERFÍCIES[Materiais],0)), "-")</f>
        <v>0.03</v>
      </c>
      <c r="I15" s="22">
        <f>IFERROR(INDEX(BASE_SUPERFÍCIES[2000 Hz],MATCH(ABS_PARC_SUP10[[#This Row],[Especificações Materiais]],BASE_SUPERFÍCIES[Materiais],0)), "-")</f>
        <v>0.02</v>
      </c>
      <c r="J15" s="23">
        <f>IFERROR(INDEX(BASE_SUPERFÍCIES[4000 Hz],MATCH(ABS_PARC_SUP10[[#This Row],[Especificações Materiais]],BASE_SUPERFÍCIES[Materiais],0)),"-")</f>
        <v>0.02</v>
      </c>
      <c r="K15" s="61">
        <f>IFERROR(SUM(ABS_PARC_SUP10[[#This Row],[250 Hz]:[2000 Hz]])/4,"-")</f>
        <v>3.7499999999999999E-2</v>
      </c>
      <c r="L15" s="66" t="str">
        <f>IFERROR(INDEX(BASE_SUPERFÍCIES[Fonte],MATCH(ABS_PARC_SUP10[[#This Row],[Especificações Materiais]],BASE_SUPERFÍCIES[Materiais],0)),"-")</f>
        <v>BISTAFA, Sylvio R; 2007</v>
      </c>
      <c r="R15" s="83" t="s">
        <v>93</v>
      </c>
      <c r="S15" s="45">
        <f>INDEX(TR_ÓTIMO_CRESC[TR4],MATCH($O$14+0.1,TR_ÓTIMO_CRESC[V],1))+($O$14+0.1-INDEX(TR_ÓTIMO_CRESC[V],MATCH($O$14+0.1,TR_ÓTIMO_CRESC[V],1)))*((INDEX(TR_ÓTIMO_DECRESC[TR4],MATCH($O$14+0.1,TR_ÓTIMO_DECRESC[V],-1))-INDEX(TR_ÓTIMO_CRESC[TR4],MATCH($O$14+0.1,TR_ÓTIMO_CRESC[V],1)))/(INDEX(TR_ÓTIMO_DECRESC[V],MATCH($O$14+0.1,TR_ÓTIMO_DECRESC[V],-1))-INDEX(TR_ÓTIMO_CRESC[V],MATCH($O$14+0.1,TR_ÓTIMO_CRESC[V],1))))</f>
        <v>0.9504469333333333</v>
      </c>
    </row>
    <row r="16" spans="2:19" x14ac:dyDescent="0.3">
      <c r="B16" s="84" t="s">
        <v>197</v>
      </c>
      <c r="C16" s="88" t="s">
        <v>32</v>
      </c>
      <c r="D16" s="71">
        <f>O9*O10</f>
        <v>61.44</v>
      </c>
      <c r="E16" s="21">
        <f>IFERROR(INDEX(BASE_SUPERFÍCIES[125 Hz],MATCH(ABS_PARC_SUP10[[#This Row],[Especificações Materiais]],BASE_SUPERFÍCIES[Materiais],0)), "-")</f>
        <v>0.1</v>
      </c>
      <c r="F16" s="22">
        <f>IFERROR(INDEX(BASE_SUPERFÍCIES[250 Hz],MATCH(ABS_PARC_SUP10[[#This Row],[Especificações Materiais]],BASE_SUPERFÍCIES[Materiais],0)),"-")</f>
        <v>0.15</v>
      </c>
      <c r="G16" s="22">
        <f>IFERROR(INDEX(BASE_SUPERFÍCIES[500 Hz],MATCH(ABS_PARC_SUP10[[#This Row],[Especificações Materiais]],BASE_SUPERFÍCIES[Materiais],0)), "-")</f>
        <v>0.25</v>
      </c>
      <c r="H16" s="22">
        <f>IFERROR(INDEX(BASE_SUPERFÍCIES[1000 Hz],MATCH(ABS_PARC_SUP10[[#This Row],[Especificações Materiais]],BASE_SUPERFÍCIES[Materiais],0)), "-")</f>
        <v>0.3</v>
      </c>
      <c r="I16" s="22">
        <f>IFERROR(INDEX(BASE_SUPERFÍCIES[2000 Hz],MATCH(ABS_PARC_SUP10[[#This Row],[Especificações Materiais]],BASE_SUPERFÍCIES[Materiais],0)), "-")</f>
        <v>0.3</v>
      </c>
      <c r="J16" s="23">
        <f>IFERROR(INDEX(BASE_SUPERFÍCIES[4000 Hz],MATCH(ABS_PARC_SUP10[[#This Row],[Especificações Materiais]],BASE_SUPERFÍCIES[Materiais],0)),"-")</f>
        <v>0.3</v>
      </c>
      <c r="K16" s="61">
        <f>IFERROR(SUM(ABS_PARC_SUP10[[#This Row],[250 Hz]:[2000 Hz]])/4,"-")</f>
        <v>0.25</v>
      </c>
      <c r="L16" s="66" t="str">
        <f>IFERROR(INDEX(BASE_SUPERFÍCIES[Fonte],MATCH(ABS_PARC_SUP10[[#This Row],[Especificações Materiais]],BASE_SUPERFÍCIES[Materiais],0)),"-")</f>
        <v>USP - AUT0280; 2018</v>
      </c>
      <c r="N16" s="168" t="s">
        <v>87</v>
      </c>
      <c r="O16" s="216" t="s">
        <v>90</v>
      </c>
      <c r="P16" s="217"/>
      <c r="R16" s="83" t="s">
        <v>94</v>
      </c>
      <c r="S16" s="45">
        <f>INDEX(TR_ÓTIMO_CRESC[TR4],MATCH($O$14+0.1,TR_ÓTIMO_CRESC[V],1))+($O$14+0.1-INDEX(TR_ÓTIMO_CRESC[V],MATCH($O$14+0.1,TR_ÓTIMO_CRESC[V],1)))*((INDEX(TR_ÓTIMO_DECRESC[TR4],MATCH($O$14+0.1,TR_ÓTIMO_DECRESC[V],-1))-INDEX(TR_ÓTIMO_CRESC[TR4],MATCH($O$14+0.1,TR_ÓTIMO_CRESC[V],1)))/(INDEX(TR_ÓTIMO_DECRESC[V],MATCH($O$14+0.1,TR_ÓTIMO_DECRESC[V],-1))-INDEX(TR_ÓTIMO_CRESC[V],MATCH($O$14+0.1,TR_ÓTIMO_CRESC[V],1))))</f>
        <v>0.9504469333333333</v>
      </c>
    </row>
    <row r="17" spans="2:19" x14ac:dyDescent="0.3">
      <c r="B17" s="81" t="s">
        <v>198</v>
      </c>
      <c r="C17" s="82" t="s">
        <v>200</v>
      </c>
      <c r="D17" s="70">
        <f>O9*O10</f>
        <v>61.44</v>
      </c>
      <c r="E17" s="21">
        <f>IFERROR(INDEX(BASE_SUPERFÍCIES[125 Hz],MATCH(ABS_PARC_SUP10[[#This Row],[Especificações Materiais]],BASE_SUPERFÍCIES[Materiais],0)), "-")</f>
        <v>0.35</v>
      </c>
      <c r="F17" s="22">
        <f>IFERROR(INDEX(BASE_SUPERFÍCIES[250 Hz],MATCH(ABS_PARC_SUP10[[#This Row],[Especificações Materiais]],BASE_SUPERFÍCIES[Materiais],0)),"-")</f>
        <v>0.45</v>
      </c>
      <c r="G17" s="22">
        <f>IFERROR(INDEX(BASE_SUPERFÍCIES[500 Hz],MATCH(ABS_PARC_SUP10[[#This Row],[Especificações Materiais]],BASE_SUPERFÍCIES[Materiais],0)), "-")</f>
        <v>0.65</v>
      </c>
      <c r="H17" s="22">
        <f>IFERROR(INDEX(BASE_SUPERFÍCIES[1000 Hz],MATCH(ABS_PARC_SUP10[[#This Row],[Especificações Materiais]],BASE_SUPERFÍCIES[Materiais],0)), "-")</f>
        <v>0.8</v>
      </c>
      <c r="I17" s="22">
        <f>IFERROR(INDEX(BASE_SUPERFÍCIES[2000 Hz],MATCH(ABS_PARC_SUP10[[#This Row],[Especificações Materiais]],BASE_SUPERFÍCIES[Materiais],0)), "-")</f>
        <v>0.8</v>
      </c>
      <c r="J17" s="23">
        <f>IFERROR(INDEX(BASE_SUPERFÍCIES[4000 Hz],MATCH(ABS_PARC_SUP10[[#This Row],[Especificações Materiais]],BASE_SUPERFÍCIES[Materiais],0)),"-")</f>
        <v>0.75</v>
      </c>
      <c r="K17" s="61">
        <f>IFERROR(SUM(ABS_PARC_SUP10[[#This Row],[250 Hz]:[2000 Hz]])/4,"-")</f>
        <v>0.67500000000000004</v>
      </c>
      <c r="L17" s="66" t="str">
        <f>IFERROR(INDEX(BASE_SUPERFÍCIES[Fonte],MATCH(ABS_PARC_SUP10[[#This Row],[Especificações Materiais]],BASE_SUPERFÍCIES[Materiais],0)),"-")</f>
        <v>USP - AUT0280; 2018</v>
      </c>
      <c r="R17" s="83" t="s">
        <v>95</v>
      </c>
      <c r="S17" s="45">
        <f>INDEX(TR_ÓTIMO_CRESC[TR4],MATCH($O$14+0.1,TR_ÓTIMO_CRESC[V],1))+($O$14+0.1-INDEX(TR_ÓTIMO_CRESC[V],MATCH($O$14+0.1,TR_ÓTIMO_CRESC[V],1)))*((INDEX(TR_ÓTIMO_DECRESC[TR4],MATCH($O$14+0.1,TR_ÓTIMO_DECRESC[V],-1))-INDEX(TR_ÓTIMO_CRESC[TR4],MATCH($O$14+0.1,TR_ÓTIMO_CRESC[V],1)))/(INDEX(TR_ÓTIMO_DECRESC[V],MATCH($O$14+0.1,TR_ÓTIMO_DECRESC[V],-1))-INDEX(TR_ÓTIMO_CRESC[V],MATCH($O$14+0.1,TR_ÓTIMO_CRESC[V],1))))</f>
        <v>0.9504469333333333</v>
      </c>
    </row>
    <row r="18" spans="2:19" x14ac:dyDescent="0.3">
      <c r="B18" s="84" t="s">
        <v>199</v>
      </c>
      <c r="C18" s="88" t="s">
        <v>22</v>
      </c>
      <c r="D18" s="71">
        <f>D15</f>
        <v>11.52</v>
      </c>
      <c r="E18" s="21">
        <f>IFERROR(INDEX(BASE_SUPERFÍCIES[125 Hz],MATCH(ABS_PARC_SUP10[[#This Row],[Especificações Materiais]],BASE_SUPERFÍCIES[Materiais],0)), "-")</f>
        <v>0.04</v>
      </c>
      <c r="F18" s="22">
        <f>IFERROR(INDEX(BASE_SUPERFÍCIES[250 Hz],MATCH(ABS_PARC_SUP10[[#This Row],[Especificações Materiais]],BASE_SUPERFÍCIES[Materiais],0)),"-")</f>
        <v>0.13</v>
      </c>
      <c r="G18" s="22">
        <f>IFERROR(INDEX(BASE_SUPERFÍCIES[500 Hz],MATCH(ABS_PARC_SUP10[[#This Row],[Especificações Materiais]],BASE_SUPERFÍCIES[Materiais],0)), "-")</f>
        <v>0.13</v>
      </c>
      <c r="H18" s="22">
        <f>IFERROR(INDEX(BASE_SUPERFÍCIES[1000 Hz],MATCH(ABS_PARC_SUP10[[#This Row],[Especificações Materiais]],BASE_SUPERFÍCIES[Materiais],0)), "-")</f>
        <v>0.5</v>
      </c>
      <c r="I18" s="22">
        <f>IFERROR(INDEX(BASE_SUPERFÍCIES[2000 Hz],MATCH(ABS_PARC_SUP10[[#This Row],[Especificações Materiais]],BASE_SUPERFÍCIES[Materiais],0)), "-")</f>
        <v>0.32</v>
      </c>
      <c r="J18" s="23">
        <f>IFERROR(INDEX(BASE_SUPERFÍCIES[4000 Hz],MATCH(ABS_PARC_SUP10[[#This Row],[Especificações Materiais]],BASE_SUPERFÍCIES[Materiais],0)),"-")</f>
        <v>0.32</v>
      </c>
      <c r="K18" s="61">
        <f>IFERROR(SUM(ABS_PARC_SUP10[[#This Row],[250 Hz]:[2000 Hz]])/4,"-")</f>
        <v>0.27</v>
      </c>
      <c r="L18" s="66" t="str">
        <f>IFERROR(INDEX(BASE_SUPERFÍCIES[Fonte],MATCH(ABS_PARC_SUP10[[#This Row],[Especificações Materiais]],BASE_SUPERFÍCIES[Materiais],0)),"-")</f>
        <v>USP - AUT0280; 2018</v>
      </c>
      <c r="N18" s="169" t="s">
        <v>177</v>
      </c>
      <c r="O18" s="171">
        <f>INDEX(Tabela712[TRo],MATCH($O$16,Tabela712[USOS],0))</f>
        <v>0.70522346666666669</v>
      </c>
      <c r="R18" s="83" t="s">
        <v>96</v>
      </c>
      <c r="S18" s="45">
        <f>INDEX(TR_ÓTIMO_CRESC[TR5],MATCH($O$14+0.1,TR_ÓTIMO_CRESC[V],1))+($O$14+0.1-INDEX(TR_ÓTIMO_CRESC[V],MATCH($O$14+0.1,TR_ÓTIMO_CRESC[V],1)))*((INDEX(TR_ÓTIMO_DECRESC[TR5],MATCH($O$14+0.1,TR_ÓTIMO_DECRESC[V],-1))-INDEX(TR_ÓTIMO_CRESC[TR5],MATCH($O$14+0.1,TR_ÓTIMO_CRESC[V],1)))/(INDEX(TR_ÓTIMO_DECRESC[V],MATCH($O$14+0.1,TR_ÓTIMO_DECRESC[V],-1))-INDEX(TR_ÓTIMO_CRESC[V],MATCH($O$14+0.1,TR_ÓTIMO_CRESC[V],1))))</f>
        <v>1.3878351999999998</v>
      </c>
    </row>
    <row r="19" spans="2:19" x14ac:dyDescent="0.3">
      <c r="B19" s="81"/>
      <c r="C19" s="82"/>
      <c r="D19" s="70"/>
      <c r="E19" s="21" t="str">
        <f>IFERROR(INDEX(BASE_SUPERFÍCIES[125 Hz],MATCH(ABS_PARC_SUP10[[#This Row],[Especificações Materiais]],BASE_SUPERFÍCIES[Materiais],0)), "-")</f>
        <v>-</v>
      </c>
      <c r="F19" s="22" t="str">
        <f>IFERROR(INDEX(BASE_SUPERFÍCIES[250 Hz],MATCH(ABS_PARC_SUP10[[#This Row],[Especificações Materiais]],BASE_SUPERFÍCIES[Materiais],0)),"-")</f>
        <v>-</v>
      </c>
      <c r="G19" s="22" t="str">
        <f>IFERROR(INDEX(BASE_SUPERFÍCIES[500 Hz],MATCH(ABS_PARC_SUP10[[#This Row],[Especificações Materiais]],BASE_SUPERFÍCIES[Materiais],0)), "-")</f>
        <v>-</v>
      </c>
      <c r="H19" s="22" t="str">
        <f>IFERROR(INDEX(BASE_SUPERFÍCIES[1000 Hz],MATCH(ABS_PARC_SUP10[[#This Row],[Especificações Materiais]],BASE_SUPERFÍCIES[Materiais],0)), "-")</f>
        <v>-</v>
      </c>
      <c r="I19" s="22" t="str">
        <f>IFERROR(INDEX(BASE_SUPERFÍCIES[2000 Hz],MATCH(ABS_PARC_SUP10[[#This Row],[Especificações Materiais]],BASE_SUPERFÍCIES[Materiais],0)), "-")</f>
        <v>-</v>
      </c>
      <c r="J19" s="23" t="str">
        <f>IFERROR(INDEX(BASE_SUPERFÍCIES[4000 Hz],MATCH(ABS_PARC_SUP10[[#This Row],[Especificações Materiais]],BASE_SUPERFÍCIES[Materiais],0)),"-")</f>
        <v>-</v>
      </c>
      <c r="K19" s="61">
        <f>IFERROR(SUM(ABS_PARC_SUP10[[#This Row],[250 Hz]:[2000 Hz]])/4,"-")</f>
        <v>0</v>
      </c>
      <c r="L19" s="66" t="str">
        <f>IFERROR(INDEX(BASE_SUPERFÍCIES[Fonte],MATCH(ABS_PARC_SUP10[[#This Row],[Especificações Materiais]],BASE_SUPERFÍCIES[Materiais],0)),"-")</f>
        <v>-</v>
      </c>
      <c r="N19" s="169" t="s">
        <v>178</v>
      </c>
      <c r="O19" s="171">
        <f>K68</f>
        <v>6.7709519797809605</v>
      </c>
      <c r="R19" s="83" t="s">
        <v>97</v>
      </c>
      <c r="S19" s="45">
        <f>INDEX(TR_ÓTIMO_CRESC[TR5],MATCH($O$14+0.1,TR_ÓTIMO_CRESC[V],1))+($O$14+0.1-INDEX(TR_ÓTIMO_CRESC[V],MATCH($O$14+0.1,TR_ÓTIMO_CRESC[V],1)))*((INDEX(TR_ÓTIMO_DECRESC[TR5],MATCH($O$14+0.1,TR_ÓTIMO_DECRESC[V],-1))-INDEX(TR_ÓTIMO_CRESC[TR5],MATCH($O$14+0.1,TR_ÓTIMO_CRESC[V],1)))/(INDEX(TR_ÓTIMO_DECRESC[V],MATCH($O$14+0.1,TR_ÓTIMO_DECRESC[V],-1))-INDEX(TR_ÓTIMO_CRESC[V],MATCH($O$14+0.1,TR_ÓTIMO_CRESC[V],1))))</f>
        <v>1.3878351999999998</v>
      </c>
    </row>
    <row r="20" spans="2:19" x14ac:dyDescent="0.3">
      <c r="B20" s="84"/>
      <c r="C20" s="88"/>
      <c r="D20" s="71"/>
      <c r="E20" s="21" t="str">
        <f>IFERROR(INDEX(BASE_SUPERFÍCIES[125 Hz],MATCH(ABS_PARC_SUP10[[#This Row],[Especificações Materiais]],BASE_SUPERFÍCIES[Materiais],0)), "-")</f>
        <v>-</v>
      </c>
      <c r="F20" s="22" t="str">
        <f>IFERROR(INDEX(BASE_SUPERFÍCIES[250 Hz],MATCH(ABS_PARC_SUP10[[#This Row],[Especificações Materiais]],BASE_SUPERFÍCIES[Materiais],0)),"-")</f>
        <v>-</v>
      </c>
      <c r="G20" s="22" t="str">
        <f>IFERROR(INDEX(BASE_SUPERFÍCIES[500 Hz],MATCH(ABS_PARC_SUP10[[#This Row],[Especificações Materiais]],BASE_SUPERFÍCIES[Materiais],0)), "-")</f>
        <v>-</v>
      </c>
      <c r="H20" s="22" t="str">
        <f>IFERROR(INDEX(BASE_SUPERFÍCIES[1000 Hz],MATCH(ABS_PARC_SUP10[[#This Row],[Especificações Materiais]],BASE_SUPERFÍCIES[Materiais],0)), "-")</f>
        <v>-</v>
      </c>
      <c r="I20" s="22" t="str">
        <f>IFERROR(INDEX(BASE_SUPERFÍCIES[2000 Hz],MATCH(ABS_PARC_SUP10[[#This Row],[Especificações Materiais]],BASE_SUPERFÍCIES[Materiais],0)), "-")</f>
        <v>-</v>
      </c>
      <c r="J20" s="23" t="str">
        <f>IFERROR(INDEX(BASE_SUPERFÍCIES[4000 Hz],MATCH(ABS_PARC_SUP10[[#This Row],[Especificações Materiais]],BASE_SUPERFÍCIES[Materiais],0)),"-")</f>
        <v>-</v>
      </c>
      <c r="K20" s="61">
        <f>IFERROR(SUM(ABS_PARC_SUP10[[#This Row],[250 Hz]:[2000 Hz]])/4,"-")</f>
        <v>0</v>
      </c>
      <c r="L20" s="66" t="str">
        <f>IFERROR(INDEX(BASE_SUPERFÍCIES[Fonte],MATCH(ABS_PARC_SUP10[[#This Row],[Especificações Materiais]],BASE_SUPERFÍCIES[Materiais],0)),"-")</f>
        <v>-</v>
      </c>
    </row>
    <row r="21" spans="2:19" x14ac:dyDescent="0.3">
      <c r="B21" s="81"/>
      <c r="C21" s="82"/>
      <c r="D21" s="70"/>
      <c r="E21" s="21" t="str">
        <f>IFERROR(INDEX(BASE_SUPERFÍCIES[125 Hz],MATCH(ABS_PARC_SUP10[[#This Row],[Especificações Materiais]],BASE_SUPERFÍCIES[Materiais],0)), "-")</f>
        <v>-</v>
      </c>
      <c r="F21" s="22" t="str">
        <f>IFERROR(INDEX(BASE_SUPERFÍCIES[250 Hz],MATCH(ABS_PARC_SUP10[[#This Row],[Especificações Materiais]],BASE_SUPERFÍCIES[Materiais],0)),"-")</f>
        <v>-</v>
      </c>
      <c r="G21" s="22" t="str">
        <f>IFERROR(INDEX(BASE_SUPERFÍCIES[500 Hz],MATCH(ABS_PARC_SUP10[[#This Row],[Especificações Materiais]],BASE_SUPERFÍCIES[Materiais],0)), "-")</f>
        <v>-</v>
      </c>
      <c r="H21" s="22" t="str">
        <f>IFERROR(INDEX(BASE_SUPERFÍCIES[1000 Hz],MATCH(ABS_PARC_SUP10[[#This Row],[Especificações Materiais]],BASE_SUPERFÍCIES[Materiais],0)), "-")</f>
        <v>-</v>
      </c>
      <c r="I21" s="22" t="str">
        <f>IFERROR(INDEX(BASE_SUPERFÍCIES[2000 Hz],MATCH(ABS_PARC_SUP10[[#This Row],[Especificações Materiais]],BASE_SUPERFÍCIES[Materiais],0)), "-")</f>
        <v>-</v>
      </c>
      <c r="J21" s="23" t="str">
        <f>IFERROR(INDEX(BASE_SUPERFÍCIES[4000 Hz],MATCH(ABS_PARC_SUP10[[#This Row],[Especificações Materiais]],BASE_SUPERFÍCIES[Materiais],0)),"-")</f>
        <v>-</v>
      </c>
      <c r="K21" s="61">
        <f>IFERROR(SUM(ABS_PARC_SUP10[[#This Row],[250 Hz]:[2000 Hz]])/4,"-")</f>
        <v>0</v>
      </c>
      <c r="L21" s="66" t="str">
        <f>IFERROR(INDEX(BASE_SUPERFÍCIES[Fonte],MATCH(ABS_PARC_SUP10[[#This Row],[Especificações Materiais]],BASE_SUPERFÍCIES[Materiais],0)),"-")</f>
        <v>-</v>
      </c>
    </row>
    <row r="22" spans="2:19" x14ac:dyDescent="0.3">
      <c r="B22" s="84"/>
      <c r="C22" s="88"/>
      <c r="D22" s="71"/>
      <c r="E22" s="21" t="str">
        <f>IFERROR(INDEX(BASE_SUPERFÍCIES[125 Hz],MATCH(ABS_PARC_SUP10[[#This Row],[Especificações Materiais]],BASE_SUPERFÍCIES[Materiais],0)), "-")</f>
        <v>-</v>
      </c>
      <c r="F22" s="22" t="str">
        <f>IFERROR(INDEX(BASE_SUPERFÍCIES[250 Hz],MATCH(ABS_PARC_SUP10[[#This Row],[Especificações Materiais]],BASE_SUPERFÍCIES[Materiais],0)),"-")</f>
        <v>-</v>
      </c>
      <c r="G22" s="22" t="str">
        <f>IFERROR(INDEX(BASE_SUPERFÍCIES[500 Hz],MATCH(ABS_PARC_SUP10[[#This Row],[Especificações Materiais]],BASE_SUPERFÍCIES[Materiais],0)), "-")</f>
        <v>-</v>
      </c>
      <c r="H22" s="22" t="str">
        <f>IFERROR(INDEX(BASE_SUPERFÍCIES[1000 Hz],MATCH(ABS_PARC_SUP10[[#This Row],[Especificações Materiais]],BASE_SUPERFÍCIES[Materiais],0)), "-")</f>
        <v>-</v>
      </c>
      <c r="I22" s="22" t="str">
        <f>IFERROR(INDEX(BASE_SUPERFÍCIES[2000 Hz],MATCH(ABS_PARC_SUP10[[#This Row],[Especificações Materiais]],BASE_SUPERFÍCIES[Materiais],0)), "-")</f>
        <v>-</v>
      </c>
      <c r="J22" s="23" t="str">
        <f>IFERROR(INDEX(BASE_SUPERFÍCIES[4000 Hz],MATCH(ABS_PARC_SUP10[[#This Row],[Especificações Materiais]],BASE_SUPERFÍCIES[Materiais],0)),"-")</f>
        <v>-</v>
      </c>
      <c r="K22" s="61">
        <f>IFERROR(SUM(ABS_PARC_SUP10[[#This Row],[250 Hz]:[2000 Hz]])/4,"-")</f>
        <v>0</v>
      </c>
      <c r="L22" s="66" t="str">
        <f>IFERROR(INDEX(BASE_SUPERFÍCIES[Fonte],MATCH(ABS_PARC_SUP10[[#This Row],[Especificações Materiais]],BASE_SUPERFÍCIES[Materiais],0)),"-")</f>
        <v>-</v>
      </c>
    </row>
    <row r="23" spans="2:19" x14ac:dyDescent="0.3">
      <c r="B23" s="81"/>
      <c r="C23" s="82"/>
      <c r="D23" s="70"/>
      <c r="E23" s="21" t="str">
        <f>IFERROR(INDEX(BASE_SUPERFÍCIES[125 Hz],MATCH(ABS_PARC_SUP10[[#This Row],[Especificações Materiais]],BASE_SUPERFÍCIES[Materiais],0)), "-")</f>
        <v>-</v>
      </c>
      <c r="F23" s="22" t="str">
        <f>IFERROR(INDEX(BASE_SUPERFÍCIES[250 Hz],MATCH(ABS_PARC_SUP10[[#This Row],[Especificações Materiais]],BASE_SUPERFÍCIES[Materiais],0)),"-")</f>
        <v>-</v>
      </c>
      <c r="G23" s="22" t="str">
        <f>IFERROR(INDEX(BASE_SUPERFÍCIES[500 Hz],MATCH(ABS_PARC_SUP10[[#This Row],[Especificações Materiais]],BASE_SUPERFÍCIES[Materiais],0)), "-")</f>
        <v>-</v>
      </c>
      <c r="H23" s="22" t="str">
        <f>IFERROR(INDEX(BASE_SUPERFÍCIES[1000 Hz],MATCH(ABS_PARC_SUP10[[#This Row],[Especificações Materiais]],BASE_SUPERFÍCIES[Materiais],0)), "-")</f>
        <v>-</v>
      </c>
      <c r="I23" s="22" t="str">
        <f>IFERROR(INDEX(BASE_SUPERFÍCIES[2000 Hz],MATCH(ABS_PARC_SUP10[[#This Row],[Especificações Materiais]],BASE_SUPERFÍCIES[Materiais],0)), "-")</f>
        <v>-</v>
      </c>
      <c r="J23" s="23" t="str">
        <f>IFERROR(INDEX(BASE_SUPERFÍCIES[4000 Hz],MATCH(ABS_PARC_SUP10[[#This Row],[Especificações Materiais]],BASE_SUPERFÍCIES[Materiais],0)),"-")</f>
        <v>-</v>
      </c>
      <c r="K23" s="61">
        <f>IFERROR(SUM(ABS_PARC_SUP10[[#This Row],[250 Hz]:[2000 Hz]])/4,"-")</f>
        <v>0</v>
      </c>
      <c r="L23" s="66" t="str">
        <f>IFERROR(INDEX(BASE_SUPERFÍCIES[Fonte],MATCH(ABS_PARC_SUP10[[#This Row],[Especificações Materiais]],BASE_SUPERFÍCIES[Materiais],0)),"-")</f>
        <v>-</v>
      </c>
    </row>
    <row r="24" spans="2:19" x14ac:dyDescent="0.3">
      <c r="B24" s="84"/>
      <c r="C24" s="88"/>
      <c r="D24" s="71"/>
      <c r="E24" s="21" t="str">
        <f>IFERROR(INDEX(BASE_SUPERFÍCIES[125 Hz],MATCH(ABS_PARC_SUP10[[#This Row],[Especificações Materiais]],BASE_SUPERFÍCIES[Materiais],0)), "-")</f>
        <v>-</v>
      </c>
      <c r="F24" s="22" t="str">
        <f>IFERROR(INDEX(BASE_SUPERFÍCIES[250 Hz],MATCH(ABS_PARC_SUP10[[#This Row],[Especificações Materiais]],BASE_SUPERFÍCIES[Materiais],0)),"-")</f>
        <v>-</v>
      </c>
      <c r="G24" s="22" t="str">
        <f>IFERROR(INDEX(BASE_SUPERFÍCIES[500 Hz],MATCH(ABS_PARC_SUP10[[#This Row],[Especificações Materiais]],BASE_SUPERFÍCIES[Materiais],0)), "-")</f>
        <v>-</v>
      </c>
      <c r="H24" s="22" t="str">
        <f>IFERROR(INDEX(BASE_SUPERFÍCIES[1000 Hz],MATCH(ABS_PARC_SUP10[[#This Row],[Especificações Materiais]],BASE_SUPERFÍCIES[Materiais],0)), "-")</f>
        <v>-</v>
      </c>
      <c r="I24" s="22" t="str">
        <f>IFERROR(INDEX(BASE_SUPERFÍCIES[2000 Hz],MATCH(ABS_PARC_SUP10[[#This Row],[Especificações Materiais]],BASE_SUPERFÍCIES[Materiais],0)), "-")</f>
        <v>-</v>
      </c>
      <c r="J24" s="23" t="str">
        <f>IFERROR(INDEX(BASE_SUPERFÍCIES[4000 Hz],MATCH(ABS_PARC_SUP10[[#This Row],[Especificações Materiais]],BASE_SUPERFÍCIES[Materiais],0)),"-")</f>
        <v>-</v>
      </c>
      <c r="K24" s="61">
        <f>IFERROR(SUM(ABS_PARC_SUP10[[#This Row],[250 Hz]:[2000 Hz]])/4,"-")</f>
        <v>0</v>
      </c>
      <c r="L24" s="66" t="str">
        <f>IFERROR(INDEX(BASE_SUPERFÍCIES[Fonte],MATCH(ABS_PARC_SUP10[[#This Row],[Especificações Materiais]],BASE_SUPERFÍCIES[Materiais],0)),"-")</f>
        <v>-</v>
      </c>
    </row>
    <row r="25" spans="2:19" x14ac:dyDescent="0.3">
      <c r="B25" s="81"/>
      <c r="C25" s="86"/>
      <c r="D25" s="70"/>
      <c r="E25" s="21" t="str">
        <f>IFERROR(INDEX(BASE_SUPERFÍCIES[125 Hz],MATCH(ABS_PARC_SUP10[[#This Row],[Especificações Materiais]],BASE_SUPERFÍCIES[Materiais],0)), "-")</f>
        <v>-</v>
      </c>
      <c r="F25" s="22" t="str">
        <f>IFERROR(INDEX(BASE_SUPERFÍCIES[250 Hz],MATCH(ABS_PARC_SUP10[[#This Row],[Especificações Materiais]],BASE_SUPERFÍCIES[Materiais],0)),"-")</f>
        <v>-</v>
      </c>
      <c r="G25" s="22" t="str">
        <f>IFERROR(INDEX(BASE_SUPERFÍCIES[500 Hz],MATCH(ABS_PARC_SUP10[[#This Row],[Especificações Materiais]],BASE_SUPERFÍCIES[Materiais],0)), "-")</f>
        <v>-</v>
      </c>
      <c r="H25" s="22" t="str">
        <f>IFERROR(INDEX(BASE_SUPERFÍCIES[1000 Hz],MATCH(ABS_PARC_SUP10[[#This Row],[Especificações Materiais]],BASE_SUPERFÍCIES[Materiais],0)), "-")</f>
        <v>-</v>
      </c>
      <c r="I25" s="22" t="str">
        <f>IFERROR(INDEX(BASE_SUPERFÍCIES[2000 Hz],MATCH(ABS_PARC_SUP10[[#This Row],[Especificações Materiais]],BASE_SUPERFÍCIES[Materiais],0)), "-")</f>
        <v>-</v>
      </c>
      <c r="J25" s="23" t="str">
        <f>IFERROR(INDEX(BASE_SUPERFÍCIES[4000 Hz],MATCH(ABS_PARC_SUP10[[#This Row],[Especificações Materiais]],BASE_SUPERFÍCIES[Materiais],0)),"-")</f>
        <v>-</v>
      </c>
      <c r="K25" s="61">
        <f>IFERROR(SUM(ABS_PARC_SUP10[[#This Row],[250 Hz]:[2000 Hz]])/4,"-")</f>
        <v>0</v>
      </c>
      <c r="L25" s="66" t="str">
        <f>IFERROR(INDEX(BASE_SUPERFÍCIES[Fonte],MATCH(ABS_PARC_SUP10[[#This Row],[Especificações Materiais]],BASE_SUPERFÍCIES[Materiais],0)),"-")</f>
        <v>-</v>
      </c>
    </row>
    <row r="26" spans="2:19" x14ac:dyDescent="0.3">
      <c r="B26" s="84"/>
      <c r="C26" s="88"/>
      <c r="D26" s="71"/>
      <c r="E26" s="21" t="str">
        <f>IFERROR(INDEX(BASE_SUPERFÍCIES[125 Hz],MATCH(ABS_PARC_SUP10[[#This Row],[Especificações Materiais]],BASE_SUPERFÍCIES[Materiais],0)), "-")</f>
        <v>-</v>
      </c>
      <c r="F26" s="22" t="str">
        <f>IFERROR(INDEX(BASE_SUPERFÍCIES[250 Hz],MATCH(ABS_PARC_SUP10[[#This Row],[Especificações Materiais]],BASE_SUPERFÍCIES[Materiais],0)),"-")</f>
        <v>-</v>
      </c>
      <c r="G26" s="22" t="str">
        <f>IFERROR(INDEX(BASE_SUPERFÍCIES[500 Hz],MATCH(ABS_PARC_SUP10[[#This Row],[Especificações Materiais]],BASE_SUPERFÍCIES[Materiais],0)), "-")</f>
        <v>-</v>
      </c>
      <c r="H26" s="22" t="str">
        <f>IFERROR(INDEX(BASE_SUPERFÍCIES[1000 Hz],MATCH(ABS_PARC_SUP10[[#This Row],[Especificações Materiais]],BASE_SUPERFÍCIES[Materiais],0)), "-")</f>
        <v>-</v>
      </c>
      <c r="I26" s="22" t="str">
        <f>IFERROR(INDEX(BASE_SUPERFÍCIES[2000 Hz],MATCH(ABS_PARC_SUP10[[#This Row],[Especificações Materiais]],BASE_SUPERFÍCIES[Materiais],0)), "-")</f>
        <v>-</v>
      </c>
      <c r="J26" s="23" t="str">
        <f>IFERROR(INDEX(BASE_SUPERFÍCIES[4000 Hz],MATCH(ABS_PARC_SUP10[[#This Row],[Especificações Materiais]],BASE_SUPERFÍCIES[Materiais],0)),"-")</f>
        <v>-</v>
      </c>
      <c r="K26" s="61">
        <f>IFERROR(SUM(ABS_PARC_SUP10[[#This Row],[250 Hz]:[2000 Hz]])/4,"-")</f>
        <v>0</v>
      </c>
      <c r="L26" s="66" t="str">
        <f>IFERROR(INDEX(BASE_SUPERFÍCIES[Fonte],MATCH(ABS_PARC_SUP10[[#This Row],[Especificações Materiais]],BASE_SUPERFÍCIES[Materiais],0)),"-")</f>
        <v>-</v>
      </c>
    </row>
    <row r="27" spans="2:19" x14ac:dyDescent="0.3">
      <c r="B27" s="85"/>
      <c r="C27" s="86"/>
      <c r="D27" s="72"/>
      <c r="E27" s="21" t="str">
        <f>IFERROR(INDEX(BASE_SUPERFÍCIES[125 Hz],MATCH(ABS_PARC_SUP10[[#This Row],[Especificações Materiais]],BASE_SUPERFÍCIES[Materiais],0)), "-")</f>
        <v>-</v>
      </c>
      <c r="F27" s="22" t="str">
        <f>IFERROR(INDEX(BASE_SUPERFÍCIES[250 Hz],MATCH(ABS_PARC_SUP10[[#This Row],[Especificações Materiais]],BASE_SUPERFÍCIES[Materiais],0)),"-")</f>
        <v>-</v>
      </c>
      <c r="G27" s="22" t="str">
        <f>IFERROR(INDEX(BASE_SUPERFÍCIES[500 Hz],MATCH(ABS_PARC_SUP10[[#This Row],[Especificações Materiais]],BASE_SUPERFÍCIES[Materiais],0)), "-")</f>
        <v>-</v>
      </c>
      <c r="H27" s="22" t="str">
        <f>IFERROR(INDEX(BASE_SUPERFÍCIES[1000 Hz],MATCH(ABS_PARC_SUP10[[#This Row],[Especificações Materiais]],BASE_SUPERFÍCIES[Materiais],0)), "-")</f>
        <v>-</v>
      </c>
      <c r="I27" s="22" t="str">
        <f>IFERROR(INDEX(BASE_SUPERFÍCIES[2000 Hz],MATCH(ABS_PARC_SUP10[[#This Row],[Especificações Materiais]],BASE_SUPERFÍCIES[Materiais],0)), "-")</f>
        <v>-</v>
      </c>
      <c r="J27" s="23" t="str">
        <f>IFERROR(INDEX(BASE_SUPERFÍCIES[4000 Hz],MATCH(ABS_PARC_SUP10[[#This Row],[Especificações Materiais]],BASE_SUPERFÍCIES[Materiais],0)),"-")</f>
        <v>-</v>
      </c>
      <c r="K27" s="61">
        <f>IFERROR(SUM(ABS_PARC_SUP10[[#This Row],[250 Hz]:[2000 Hz]])/4,"-")</f>
        <v>0</v>
      </c>
      <c r="L27" s="66" t="str">
        <f>IFERROR(INDEX(BASE_SUPERFÍCIES[Fonte],MATCH(ABS_PARC_SUP10[[#This Row],[Especificações Materiais]],BASE_SUPERFÍCIES[Materiais],0)),"-")</f>
        <v>-</v>
      </c>
    </row>
    <row r="28" spans="2:19" x14ac:dyDescent="0.3">
      <c r="B28" s="87"/>
      <c r="C28" s="88"/>
      <c r="D28" s="73"/>
      <c r="E28" s="21" t="str">
        <f>IFERROR(INDEX(BASE_SUPERFÍCIES[125 Hz],MATCH(ABS_PARC_SUP10[[#This Row],[Especificações Materiais]],BASE_SUPERFÍCIES[Materiais],0)), "-")</f>
        <v>-</v>
      </c>
      <c r="F28" s="22" t="str">
        <f>IFERROR(INDEX(BASE_SUPERFÍCIES[250 Hz],MATCH(ABS_PARC_SUP10[[#This Row],[Especificações Materiais]],BASE_SUPERFÍCIES[Materiais],0)),"-")</f>
        <v>-</v>
      </c>
      <c r="G28" s="22" t="str">
        <f>IFERROR(INDEX(BASE_SUPERFÍCIES[500 Hz],MATCH(ABS_PARC_SUP10[[#This Row],[Especificações Materiais]],BASE_SUPERFÍCIES[Materiais],0)), "-")</f>
        <v>-</v>
      </c>
      <c r="H28" s="22" t="str">
        <f>IFERROR(INDEX(BASE_SUPERFÍCIES[1000 Hz],MATCH(ABS_PARC_SUP10[[#This Row],[Especificações Materiais]],BASE_SUPERFÍCIES[Materiais],0)), "-")</f>
        <v>-</v>
      </c>
      <c r="I28" s="22" t="str">
        <f>IFERROR(INDEX(BASE_SUPERFÍCIES[2000 Hz],MATCH(ABS_PARC_SUP10[[#This Row],[Especificações Materiais]],BASE_SUPERFÍCIES[Materiais],0)), "-")</f>
        <v>-</v>
      </c>
      <c r="J28" s="23" t="str">
        <f>IFERROR(INDEX(BASE_SUPERFÍCIES[4000 Hz],MATCH(ABS_PARC_SUP10[[#This Row],[Especificações Materiais]],BASE_SUPERFÍCIES[Materiais],0)),"-")</f>
        <v>-</v>
      </c>
      <c r="K28" s="61">
        <f>IFERROR(SUM(ABS_PARC_SUP10[[#This Row],[250 Hz]:[2000 Hz]])/4,"-")</f>
        <v>0</v>
      </c>
      <c r="L28" s="66" t="str">
        <f>IFERROR(INDEX(BASE_SUPERFÍCIES[Fonte],MATCH(ABS_PARC_SUP10[[#This Row],[Especificações Materiais]],BASE_SUPERFÍCIES[Materiais],0)),"-")</f>
        <v>-</v>
      </c>
    </row>
    <row r="29" spans="2:19" x14ac:dyDescent="0.3">
      <c r="B29" s="85"/>
      <c r="C29" s="86"/>
      <c r="D29" s="72"/>
      <c r="E29" s="21" t="str">
        <f>IFERROR(INDEX(BASE_SUPERFÍCIES[125 Hz],MATCH(ABS_PARC_SUP10[[#This Row],[Especificações Materiais]],BASE_SUPERFÍCIES[Materiais],0)), "-")</f>
        <v>-</v>
      </c>
      <c r="F29" s="22" t="str">
        <f>IFERROR(INDEX(BASE_SUPERFÍCIES[250 Hz],MATCH(ABS_PARC_SUP10[[#This Row],[Especificações Materiais]],BASE_SUPERFÍCIES[Materiais],0)),"-")</f>
        <v>-</v>
      </c>
      <c r="G29" s="22" t="str">
        <f>IFERROR(INDEX(BASE_SUPERFÍCIES[500 Hz],MATCH(ABS_PARC_SUP10[[#This Row],[Especificações Materiais]],BASE_SUPERFÍCIES[Materiais],0)), "-")</f>
        <v>-</v>
      </c>
      <c r="H29" s="22" t="str">
        <f>IFERROR(INDEX(BASE_SUPERFÍCIES[1000 Hz],MATCH(ABS_PARC_SUP10[[#This Row],[Especificações Materiais]],BASE_SUPERFÍCIES[Materiais],0)), "-")</f>
        <v>-</v>
      </c>
      <c r="I29" s="22" t="str">
        <f>IFERROR(INDEX(BASE_SUPERFÍCIES[2000 Hz],MATCH(ABS_PARC_SUP10[[#This Row],[Especificações Materiais]],BASE_SUPERFÍCIES[Materiais],0)), "-")</f>
        <v>-</v>
      </c>
      <c r="J29" s="23" t="str">
        <f>IFERROR(INDEX(BASE_SUPERFÍCIES[4000 Hz],MATCH(ABS_PARC_SUP10[[#This Row],[Especificações Materiais]],BASE_SUPERFÍCIES[Materiais],0)),"-")</f>
        <v>-</v>
      </c>
      <c r="K29" s="61">
        <f>IFERROR(SUM(ABS_PARC_SUP10[[#This Row],[250 Hz]:[2000 Hz]])/4,"-")</f>
        <v>0</v>
      </c>
      <c r="L29" s="66" t="str">
        <f>IFERROR(INDEX(BASE_SUPERFÍCIES[Fonte],MATCH(ABS_PARC_SUP10[[#This Row],[Especificações Materiais]],BASE_SUPERFÍCIES[Materiais],0)),"-")</f>
        <v>-</v>
      </c>
    </row>
    <row r="30" spans="2:19" x14ac:dyDescent="0.3">
      <c r="B30" s="89"/>
      <c r="C30" s="88"/>
      <c r="D30" s="73"/>
      <c r="E30" s="21" t="str">
        <f>IFERROR(INDEX(BASE_SUPERFÍCIES[125 Hz],MATCH(ABS_PARC_SUP10[[#This Row],[Especificações Materiais]],BASE_SUPERFÍCIES[Materiais],0)), "-")</f>
        <v>-</v>
      </c>
      <c r="F30" s="22" t="str">
        <f>IFERROR(INDEX(BASE_SUPERFÍCIES[250 Hz],MATCH(ABS_PARC_SUP10[[#This Row],[Especificações Materiais]],BASE_SUPERFÍCIES[Materiais],0)),"-")</f>
        <v>-</v>
      </c>
      <c r="G30" s="22" t="str">
        <f>IFERROR(INDEX(BASE_SUPERFÍCIES[500 Hz],MATCH(ABS_PARC_SUP10[[#This Row],[Especificações Materiais]],BASE_SUPERFÍCIES[Materiais],0)), "-")</f>
        <v>-</v>
      </c>
      <c r="H30" s="22" t="str">
        <f>IFERROR(INDEX(BASE_SUPERFÍCIES[1000 Hz],MATCH(ABS_PARC_SUP10[[#This Row],[Especificações Materiais]],BASE_SUPERFÍCIES[Materiais],0)), "-")</f>
        <v>-</v>
      </c>
      <c r="I30" s="22" t="str">
        <f>IFERROR(INDEX(BASE_SUPERFÍCIES[2000 Hz],MATCH(ABS_PARC_SUP10[[#This Row],[Especificações Materiais]],BASE_SUPERFÍCIES[Materiais],0)), "-")</f>
        <v>-</v>
      </c>
      <c r="J30" s="23" t="str">
        <f>IFERROR(INDEX(BASE_SUPERFÍCIES[4000 Hz],MATCH(ABS_PARC_SUP10[[#This Row],[Especificações Materiais]],BASE_SUPERFÍCIES[Materiais],0)),"-")</f>
        <v>-</v>
      </c>
      <c r="K30" s="61">
        <f>IFERROR(SUM(ABS_PARC_SUP10[[#This Row],[250 Hz]:[2000 Hz]])/4,"-")</f>
        <v>0</v>
      </c>
      <c r="L30" s="66" t="str">
        <f>IFERROR(INDEX(BASE_SUPERFÍCIES[Fonte],MATCH(ABS_PARC_SUP10[[#This Row],[Especificações Materiais]],BASE_SUPERFÍCIES[Materiais],0)),"-")</f>
        <v>-</v>
      </c>
    </row>
    <row r="31" spans="2:19" x14ac:dyDescent="0.3">
      <c r="B31" s="90"/>
      <c r="C31" s="86"/>
      <c r="D31" s="72"/>
      <c r="E31" s="21" t="str">
        <f>IFERROR(INDEX(BASE_SUPERFÍCIES[125 Hz],MATCH(ABS_PARC_SUP10[[#This Row],[Especificações Materiais]],BASE_SUPERFÍCIES[Materiais],0)), "-")</f>
        <v>-</v>
      </c>
      <c r="F31" s="22" t="str">
        <f>IFERROR(INDEX(BASE_SUPERFÍCIES[250 Hz],MATCH(ABS_PARC_SUP10[[#This Row],[Especificações Materiais]],BASE_SUPERFÍCIES[Materiais],0)),"-")</f>
        <v>-</v>
      </c>
      <c r="G31" s="22" t="str">
        <f>IFERROR(INDEX(BASE_SUPERFÍCIES[500 Hz],MATCH(ABS_PARC_SUP10[[#This Row],[Especificações Materiais]],BASE_SUPERFÍCIES[Materiais],0)), "-")</f>
        <v>-</v>
      </c>
      <c r="H31" s="22" t="str">
        <f>IFERROR(INDEX(BASE_SUPERFÍCIES[1000 Hz],MATCH(ABS_PARC_SUP10[[#This Row],[Especificações Materiais]],BASE_SUPERFÍCIES[Materiais],0)), "-")</f>
        <v>-</v>
      </c>
      <c r="I31" s="22" t="str">
        <f>IFERROR(INDEX(BASE_SUPERFÍCIES[2000 Hz],MATCH(ABS_PARC_SUP10[[#This Row],[Especificações Materiais]],BASE_SUPERFÍCIES[Materiais],0)), "-")</f>
        <v>-</v>
      </c>
      <c r="J31" s="23" t="str">
        <f>IFERROR(INDEX(BASE_SUPERFÍCIES[4000 Hz],MATCH(ABS_PARC_SUP10[[#This Row],[Especificações Materiais]],BASE_SUPERFÍCIES[Materiais],0)),"-")</f>
        <v>-</v>
      </c>
      <c r="K31" s="61">
        <f>IFERROR(SUM(ABS_PARC_SUP10[[#This Row],[250 Hz]:[2000 Hz]])/4,"-")</f>
        <v>0</v>
      </c>
      <c r="L31" s="66" t="str">
        <f>IFERROR(INDEX(BASE_SUPERFÍCIES[Fonte],MATCH(ABS_PARC_SUP10[[#This Row],[Especificações Materiais]],BASE_SUPERFÍCIES[Materiais],0)),"-")</f>
        <v>-</v>
      </c>
    </row>
    <row r="32" spans="2:19" x14ac:dyDescent="0.3">
      <c r="B32" s="89"/>
      <c r="C32" s="88"/>
      <c r="D32" s="73"/>
      <c r="E32" s="21" t="str">
        <f>IFERROR(INDEX(BASE_SUPERFÍCIES[125 Hz],MATCH(ABS_PARC_SUP10[[#This Row],[Especificações Materiais]],BASE_SUPERFÍCIES[Materiais],0)), "-")</f>
        <v>-</v>
      </c>
      <c r="F32" s="22" t="str">
        <f>IFERROR(INDEX(BASE_SUPERFÍCIES[250 Hz],MATCH(ABS_PARC_SUP10[[#This Row],[Especificações Materiais]],BASE_SUPERFÍCIES[Materiais],0)),"-")</f>
        <v>-</v>
      </c>
      <c r="G32" s="22" t="str">
        <f>IFERROR(INDEX(BASE_SUPERFÍCIES[500 Hz],MATCH(ABS_PARC_SUP10[[#This Row],[Especificações Materiais]],BASE_SUPERFÍCIES[Materiais],0)), "-")</f>
        <v>-</v>
      </c>
      <c r="H32" s="22" t="str">
        <f>IFERROR(INDEX(BASE_SUPERFÍCIES[1000 Hz],MATCH(ABS_PARC_SUP10[[#This Row],[Especificações Materiais]],BASE_SUPERFÍCIES[Materiais],0)), "-")</f>
        <v>-</v>
      </c>
      <c r="I32" s="22" t="str">
        <f>IFERROR(INDEX(BASE_SUPERFÍCIES[2000 Hz],MATCH(ABS_PARC_SUP10[[#This Row],[Especificações Materiais]],BASE_SUPERFÍCIES[Materiais],0)), "-")</f>
        <v>-</v>
      </c>
      <c r="J32" s="23" t="str">
        <f>IFERROR(INDEX(BASE_SUPERFÍCIES[4000 Hz],MATCH(ABS_PARC_SUP10[[#This Row],[Especificações Materiais]],BASE_SUPERFÍCIES[Materiais],0)),"-")</f>
        <v>-</v>
      </c>
      <c r="K32" s="61">
        <f>IFERROR(SUM(ABS_PARC_SUP10[[#This Row],[250 Hz]:[2000 Hz]])/4,"-")</f>
        <v>0</v>
      </c>
      <c r="L32" s="66" t="str">
        <f>IFERROR(INDEX(BASE_SUPERFÍCIES[Fonte],MATCH(ABS_PARC_SUP10[[#This Row],[Especificações Materiais]],BASE_SUPERFÍCIES[Materiais],0)),"-")</f>
        <v>-</v>
      </c>
    </row>
    <row r="33" spans="2:12" x14ac:dyDescent="0.3">
      <c r="B33" s="90"/>
      <c r="C33" s="86"/>
      <c r="D33" s="72"/>
      <c r="E33" s="21" t="str">
        <f>IFERROR(INDEX(BASE_SUPERFÍCIES[125 Hz],MATCH(ABS_PARC_SUP10[[#This Row],[Especificações Materiais]],BASE_SUPERFÍCIES[Materiais],0)), "-")</f>
        <v>-</v>
      </c>
      <c r="F33" s="22" t="str">
        <f>IFERROR(INDEX(BASE_SUPERFÍCIES[250 Hz],MATCH(ABS_PARC_SUP10[[#This Row],[Especificações Materiais]],BASE_SUPERFÍCIES[Materiais],0)),"-")</f>
        <v>-</v>
      </c>
      <c r="G33" s="22" t="str">
        <f>IFERROR(INDEX(BASE_SUPERFÍCIES[500 Hz],MATCH(ABS_PARC_SUP10[[#This Row],[Especificações Materiais]],BASE_SUPERFÍCIES[Materiais],0)), "-")</f>
        <v>-</v>
      </c>
      <c r="H33" s="22" t="str">
        <f>IFERROR(INDEX(BASE_SUPERFÍCIES[1000 Hz],MATCH(ABS_PARC_SUP10[[#This Row],[Especificações Materiais]],BASE_SUPERFÍCIES[Materiais],0)), "-")</f>
        <v>-</v>
      </c>
      <c r="I33" s="22" t="str">
        <f>IFERROR(INDEX(BASE_SUPERFÍCIES[2000 Hz],MATCH(ABS_PARC_SUP10[[#This Row],[Especificações Materiais]],BASE_SUPERFÍCIES[Materiais],0)), "-")</f>
        <v>-</v>
      </c>
      <c r="J33" s="23" t="str">
        <f>IFERROR(INDEX(BASE_SUPERFÍCIES[4000 Hz],MATCH(ABS_PARC_SUP10[[#This Row],[Especificações Materiais]],BASE_SUPERFÍCIES[Materiais],0)),"-")</f>
        <v>-</v>
      </c>
      <c r="K33" s="61">
        <f>IFERROR(SUM(ABS_PARC_SUP10[[#This Row],[250 Hz]:[2000 Hz]])/4,"-")</f>
        <v>0</v>
      </c>
      <c r="L33" s="66" t="str">
        <f>IFERROR(INDEX(BASE_SUPERFÍCIES[Fonte],MATCH(ABS_PARC_SUP10[[#This Row],[Especificações Materiais]],BASE_SUPERFÍCIES[Materiais],0)),"-")</f>
        <v>-</v>
      </c>
    </row>
    <row r="34" spans="2:12" x14ac:dyDescent="0.3">
      <c r="B34" s="89"/>
      <c r="C34" s="88"/>
      <c r="D34" s="73"/>
      <c r="E34" s="21" t="str">
        <f>IFERROR(INDEX(BASE_SUPERFÍCIES[125 Hz],MATCH(ABS_PARC_SUP10[[#This Row],[Especificações Materiais]],BASE_SUPERFÍCIES[Materiais],0)), "-")</f>
        <v>-</v>
      </c>
      <c r="F34" s="22" t="str">
        <f>IFERROR(INDEX(BASE_SUPERFÍCIES[250 Hz],MATCH(ABS_PARC_SUP10[[#This Row],[Especificações Materiais]],BASE_SUPERFÍCIES[Materiais],0)),"-")</f>
        <v>-</v>
      </c>
      <c r="G34" s="22" t="str">
        <f>IFERROR(INDEX(BASE_SUPERFÍCIES[500 Hz],MATCH(ABS_PARC_SUP10[[#This Row],[Especificações Materiais]],BASE_SUPERFÍCIES[Materiais],0)), "-")</f>
        <v>-</v>
      </c>
      <c r="H34" s="22" t="str">
        <f>IFERROR(INDEX(BASE_SUPERFÍCIES[1000 Hz],MATCH(ABS_PARC_SUP10[[#This Row],[Especificações Materiais]],BASE_SUPERFÍCIES[Materiais],0)), "-")</f>
        <v>-</v>
      </c>
      <c r="I34" s="22" t="str">
        <f>IFERROR(INDEX(BASE_SUPERFÍCIES[2000 Hz],MATCH(ABS_PARC_SUP10[[#This Row],[Especificações Materiais]],BASE_SUPERFÍCIES[Materiais],0)), "-")</f>
        <v>-</v>
      </c>
      <c r="J34" s="23" t="str">
        <f>IFERROR(INDEX(BASE_SUPERFÍCIES[4000 Hz],MATCH(ABS_PARC_SUP10[[#This Row],[Especificações Materiais]],BASE_SUPERFÍCIES[Materiais],0)),"-")</f>
        <v>-</v>
      </c>
      <c r="K34" s="61">
        <f>IFERROR(SUM(ABS_PARC_SUP10[[#This Row],[250 Hz]:[2000 Hz]])/4,"-")</f>
        <v>0</v>
      </c>
      <c r="L34" s="66" t="str">
        <f>IFERROR(INDEX(BASE_SUPERFÍCIES[Fonte],MATCH(ABS_PARC_SUP10[[#This Row],[Especificações Materiais]],BASE_SUPERFÍCIES[Materiais],0)),"-")</f>
        <v>-</v>
      </c>
    </row>
    <row r="35" spans="2:12" x14ac:dyDescent="0.3">
      <c r="B35" s="90"/>
      <c r="C35" s="86"/>
      <c r="D35" s="72"/>
      <c r="E35" s="21" t="str">
        <f>IFERROR(INDEX(BASE_SUPERFÍCIES[125 Hz],MATCH(ABS_PARC_SUP10[[#This Row],[Especificações Materiais]],BASE_SUPERFÍCIES[Materiais],0)), "-")</f>
        <v>-</v>
      </c>
      <c r="F35" s="22" t="str">
        <f>IFERROR(INDEX(BASE_SUPERFÍCIES[250 Hz],MATCH(ABS_PARC_SUP10[[#This Row],[Especificações Materiais]],BASE_SUPERFÍCIES[Materiais],0)),"-")</f>
        <v>-</v>
      </c>
      <c r="G35" s="22" t="str">
        <f>IFERROR(INDEX(BASE_SUPERFÍCIES[500 Hz],MATCH(ABS_PARC_SUP10[[#This Row],[Especificações Materiais]],BASE_SUPERFÍCIES[Materiais],0)), "-")</f>
        <v>-</v>
      </c>
      <c r="H35" s="22" t="str">
        <f>IFERROR(INDEX(BASE_SUPERFÍCIES[1000 Hz],MATCH(ABS_PARC_SUP10[[#This Row],[Especificações Materiais]],BASE_SUPERFÍCIES[Materiais],0)), "-")</f>
        <v>-</v>
      </c>
      <c r="I35" s="22" t="str">
        <f>IFERROR(INDEX(BASE_SUPERFÍCIES[2000 Hz],MATCH(ABS_PARC_SUP10[[#This Row],[Especificações Materiais]],BASE_SUPERFÍCIES[Materiais],0)), "-")</f>
        <v>-</v>
      </c>
      <c r="J35" s="23" t="str">
        <f>IFERROR(INDEX(BASE_SUPERFÍCIES[4000 Hz],MATCH(ABS_PARC_SUP10[[#This Row],[Especificações Materiais]],BASE_SUPERFÍCIES[Materiais],0)),"-")</f>
        <v>-</v>
      </c>
      <c r="K35" s="61">
        <f>IFERROR(SUM(ABS_PARC_SUP10[[#This Row],[250 Hz]:[2000 Hz]])/4,"-")</f>
        <v>0</v>
      </c>
      <c r="L35" s="66" t="str">
        <f>IFERROR(INDEX(BASE_SUPERFÍCIES[Fonte],MATCH(ABS_PARC_SUP10[[#This Row],[Especificações Materiais]],BASE_SUPERFÍCIES[Materiais],0)),"-")</f>
        <v>-</v>
      </c>
    </row>
    <row r="36" spans="2:12" x14ac:dyDescent="0.3">
      <c r="B36" s="89"/>
      <c r="C36" s="88"/>
      <c r="D36" s="73"/>
      <c r="E36" s="21" t="str">
        <f>IFERROR(INDEX(BASE_SUPERFÍCIES[125 Hz],MATCH(ABS_PARC_SUP10[[#This Row],[Especificações Materiais]],BASE_SUPERFÍCIES[Materiais],0)), "-")</f>
        <v>-</v>
      </c>
      <c r="F36" s="22" t="str">
        <f>IFERROR(INDEX(BASE_SUPERFÍCIES[250 Hz],MATCH(ABS_PARC_SUP10[[#This Row],[Especificações Materiais]],BASE_SUPERFÍCIES[Materiais],0)),"-")</f>
        <v>-</v>
      </c>
      <c r="G36" s="22" t="str">
        <f>IFERROR(INDEX(BASE_SUPERFÍCIES[500 Hz],MATCH(ABS_PARC_SUP10[[#This Row],[Especificações Materiais]],BASE_SUPERFÍCIES[Materiais],0)), "-")</f>
        <v>-</v>
      </c>
      <c r="H36" s="22" t="str">
        <f>IFERROR(INDEX(BASE_SUPERFÍCIES[1000 Hz],MATCH(ABS_PARC_SUP10[[#This Row],[Especificações Materiais]],BASE_SUPERFÍCIES[Materiais],0)), "-")</f>
        <v>-</v>
      </c>
      <c r="I36" s="22" t="str">
        <f>IFERROR(INDEX(BASE_SUPERFÍCIES[2000 Hz],MATCH(ABS_PARC_SUP10[[#This Row],[Especificações Materiais]],BASE_SUPERFÍCIES[Materiais],0)), "-")</f>
        <v>-</v>
      </c>
      <c r="J36" s="23" t="str">
        <f>IFERROR(INDEX(BASE_SUPERFÍCIES[4000 Hz],MATCH(ABS_PARC_SUP10[[#This Row],[Especificações Materiais]],BASE_SUPERFÍCIES[Materiais],0)),"-")</f>
        <v>-</v>
      </c>
      <c r="K36" s="61">
        <f>IFERROR(SUM(ABS_PARC_SUP10[[#This Row],[250 Hz]:[2000 Hz]])/4,"-")</f>
        <v>0</v>
      </c>
      <c r="L36" s="66" t="str">
        <f>IFERROR(INDEX(BASE_SUPERFÍCIES[Fonte],MATCH(ABS_PARC_SUP10[[#This Row],[Especificações Materiais]],BASE_SUPERFÍCIES[Materiais],0)),"-")</f>
        <v>-</v>
      </c>
    </row>
    <row r="37" spans="2:12" ht="15" thickBot="1" x14ac:dyDescent="0.35">
      <c r="B37" s="91"/>
      <c r="C37" s="92" t="s">
        <v>80</v>
      </c>
      <c r="D37" s="74"/>
      <c r="E37" s="24">
        <v>0</v>
      </c>
      <c r="F37" s="25">
        <v>0</v>
      </c>
      <c r="G37" s="25">
        <v>0</v>
      </c>
      <c r="H37" s="25">
        <v>0</v>
      </c>
      <c r="I37" s="25">
        <v>0.01</v>
      </c>
      <c r="J37" s="26">
        <v>0.03</v>
      </c>
      <c r="K37" s="63">
        <f>IFERROR(SUM(ABS_PARC_SUP10[[#This Row],[250 Hz]:[2000 Hz]])/4,"-")</f>
        <v>2.5000000000000001E-3</v>
      </c>
      <c r="L37" s="67" t="s">
        <v>81</v>
      </c>
    </row>
    <row r="38" spans="2:12" x14ac:dyDescent="0.3">
      <c r="C38" s="93" t="s">
        <v>77</v>
      </c>
      <c r="D38" s="1" t="s">
        <v>36</v>
      </c>
      <c r="E38" s="50">
        <f>SUMPRODUCT(ABS_PARC_SUP10[Área '[m²']],ABS_PARC_SUP10[125 Hz])</f>
        <v>33.251199999999997</v>
      </c>
      <c r="F38" s="50">
        <f>SUMPRODUCT(ABS_PARC_SUP10[Área '[m²']],ABS_PARC_SUP10[250 Hz])</f>
        <v>42.054399999999994</v>
      </c>
      <c r="G38" s="50">
        <f>SUMPRODUCT(ABS_PARC_SUP10[Área '[m²']],ABS_PARC_SUP10[500 Hz])</f>
        <v>60.188799999999993</v>
      </c>
      <c r="H38" s="50">
        <f>SUMPRODUCT(ABS_PARC_SUP10[Área '[m²']],ABS_PARC_SUP10[1000 Hz])</f>
        <v>76.657600000000002</v>
      </c>
      <c r="I38" s="50">
        <f>SUMPRODUCT(ABS_PARC_SUP10[Área '[m²']],ABS_PARC_SUP10[2000 Hz])</f>
        <v>75.919200000000004</v>
      </c>
      <c r="J38" s="50">
        <f>SUMPRODUCT(ABS_PARC_SUP10[Área '[m²']],ABS_PARC_SUP10[4000 Hz])</f>
        <v>77.0976</v>
      </c>
      <c r="K38" s="50">
        <f>SUMPRODUCT(ABS_PARC_SUP10[Área '[m²']],ABS_PARC_SUP10[CRR])</f>
        <v>63.704999999999998</v>
      </c>
      <c r="L38" s="2"/>
    </row>
    <row r="39" spans="2:12" x14ac:dyDescent="0.3">
      <c r="C39" s="94" t="s">
        <v>78</v>
      </c>
      <c r="D39" s="62">
        <f>SUM(ABS_PARC_SUP10[Área '[m²']])</f>
        <v>289.27999999999997</v>
      </c>
    </row>
    <row r="41" spans="2:12" x14ac:dyDescent="0.3">
      <c r="C41" s="75" t="s">
        <v>75</v>
      </c>
    </row>
    <row r="42" spans="2:12" ht="15" thickBot="1" x14ac:dyDescent="0.35"/>
    <row r="43" spans="2:12" ht="15" thickBot="1" x14ac:dyDescent="0.35">
      <c r="C43" s="95" t="s">
        <v>68</v>
      </c>
      <c r="D43" s="5" t="s">
        <v>76</v>
      </c>
      <c r="E43" s="3" t="s">
        <v>62</v>
      </c>
      <c r="F43" s="3" t="s">
        <v>63</v>
      </c>
      <c r="G43" s="3" t="s">
        <v>65</v>
      </c>
      <c r="H43" s="3" t="s">
        <v>64</v>
      </c>
      <c r="I43" s="3" t="s">
        <v>66</v>
      </c>
      <c r="J43" s="3" t="s">
        <v>67</v>
      </c>
      <c r="K43" s="5" t="s">
        <v>69</v>
      </c>
      <c r="L43" s="6" t="s">
        <v>70</v>
      </c>
    </row>
    <row r="44" spans="2:12" x14ac:dyDescent="0.3">
      <c r="C44" s="96" t="s">
        <v>124</v>
      </c>
      <c r="D44" s="58">
        <v>0</v>
      </c>
      <c r="E44" s="30">
        <f>IFERROR(INDEX(BASE_CORPOS[125 Hz],MATCH(ABS_PARC_CORP11[[#This Row],[Especificações Materiais]],BASE_CORPOS[Materiais],0)), "-")</f>
        <v>0.19</v>
      </c>
      <c r="F44" s="30">
        <f>IFERROR(INDEX(BASE_CORPOS[250 Hz],MATCH(ABS_PARC_CORP11[[#This Row],[Especificações Materiais]],BASE_CORPOS[Materiais],0)), "-")</f>
        <v>0.33</v>
      </c>
      <c r="G44" s="30">
        <f>IFERROR(INDEX(BASE_CORPOS[500 Hz],MATCH(ABS_PARC_CORP11[[#This Row],[Especificações Materiais]],BASE_CORPOS[Materiais],0)), "-")</f>
        <v>0.44</v>
      </c>
      <c r="H44" s="30">
        <f>IFERROR(INDEX(BASE_CORPOS[1000 Hz],MATCH(ABS_PARC_CORP11[[#This Row],[Especificações Materiais]],BASE_CORPOS[Materiais],0)), "-")</f>
        <v>0.42</v>
      </c>
      <c r="I44" s="30">
        <f>IFERROR(INDEX(BASE_CORPOS[2000 Hz],MATCH(ABS_PARC_CORP11[[#This Row],[Especificações Materiais]],BASE_CORPOS[Materiais],0)), "-")</f>
        <v>0.46</v>
      </c>
      <c r="J44" s="30">
        <f>IFERROR(INDEX(BASE_CORPOS[4000 Hz],MATCH(ABS_PARC_CORP11[[#This Row],[Especificações Materiais]],BASE_CORPOS[Materiais],0)), "-")</f>
        <v>0.37</v>
      </c>
      <c r="K44" s="12">
        <f>IFERROR(SUM(ABS_PARC_CORP11[[#This Row],[250 Hz]:[2000 Hz]])/4,"-")</f>
        <v>0.41249999999999998</v>
      </c>
      <c r="L44" s="30" t="str">
        <f>IFERROR(INDEX(BASE_CORPOS[Fonte],MATCH(ABS_PARC_CORP11[[#This Row],[Especificações Materiais]],BASE_CORPOS[Materiais],0)),"-")</f>
        <v>BISTAFA, Sylvio R; 2018</v>
      </c>
    </row>
    <row r="45" spans="2:12" x14ac:dyDescent="0.3">
      <c r="C45" s="97" t="s">
        <v>128</v>
      </c>
      <c r="D45" s="59">
        <v>0</v>
      </c>
      <c r="E45" s="7">
        <f>IFERROR(INDEX(BASE_CORPOS[125 Hz],MATCH(ABS_PARC_CORP11[[#This Row],[Especificações Materiais]],BASE_CORPOS[Materiais],0)), "-")</f>
        <v>0.39</v>
      </c>
      <c r="F45" s="7">
        <f>IFERROR(INDEX(BASE_CORPOS[250 Hz],MATCH(ABS_PARC_CORP11[[#This Row],[Especificações Materiais]],BASE_CORPOS[Materiais],0)), "-")</f>
        <v>0.38</v>
      </c>
      <c r="G45" s="7">
        <f>IFERROR(INDEX(BASE_CORPOS[500 Hz],MATCH(ABS_PARC_CORP11[[#This Row],[Especificações Materiais]],BASE_CORPOS[Materiais],0)), "-")</f>
        <v>0.38</v>
      </c>
      <c r="H45" s="7">
        <f>IFERROR(INDEX(BASE_CORPOS[1000 Hz],MATCH(ABS_PARC_CORP11[[#This Row],[Especificações Materiais]],BASE_CORPOS[Materiais],0)), "-")</f>
        <v>0.38</v>
      </c>
      <c r="I45" s="7">
        <f>IFERROR(INDEX(BASE_CORPOS[2000 Hz],MATCH(ABS_PARC_CORP11[[#This Row],[Especificações Materiais]],BASE_CORPOS[Materiais],0)), "-")</f>
        <v>0.42</v>
      </c>
      <c r="J45" s="7">
        <f>IFERROR(INDEX(BASE_CORPOS[4000 Hz],MATCH(ABS_PARC_CORP11[[#This Row],[Especificações Materiais]],BASE_CORPOS[Materiais],0)), "-")</f>
        <v>0.42</v>
      </c>
      <c r="K45" s="8">
        <f>IFERROR(SUM(ABS_PARC_CORP11[[#This Row],[250 Hz]:[2000 Hz]])/4,"-")</f>
        <v>0.39</v>
      </c>
      <c r="L45" s="7" t="str">
        <f>IFERROR(INDEX(BASE_CORPOS[Fonte],MATCH(ABS_PARC_CORP11[[#This Row],[Especificações Materiais]],BASE_CORPOS[Materiais],0)),"-")</f>
        <v>BISTAFA, Sylvio R; 2018</v>
      </c>
    </row>
    <row r="46" spans="2:12" x14ac:dyDescent="0.3">
      <c r="C46" s="96" t="s">
        <v>60</v>
      </c>
      <c r="D46" s="60">
        <v>0</v>
      </c>
      <c r="E46" s="9">
        <f>IFERROR(INDEX(BASE_CORPOS[125 Hz],MATCH(ABS_PARC_CORP11[[#This Row],[Especificações Materiais]],BASE_CORPOS[Materiais],0)), "-")</f>
        <v>0.28000000000000003</v>
      </c>
      <c r="F46" s="10">
        <f>IFERROR(INDEX(BASE_CORPOS[250 Hz],MATCH(ABS_PARC_CORP11[[#This Row],[Especificações Materiais]],BASE_CORPOS[Materiais],0)), "-")</f>
        <v>0.28000000000000003</v>
      </c>
      <c r="G46" s="10">
        <f>IFERROR(INDEX(BASE_CORPOS[500 Hz],MATCH(ABS_PARC_CORP11[[#This Row],[Especificações Materiais]],BASE_CORPOS[Materiais],0)), "-")</f>
        <v>0.28000000000000003</v>
      </c>
      <c r="H46" s="10">
        <f>IFERROR(INDEX(BASE_CORPOS[1000 Hz],MATCH(ABS_PARC_CORP11[[#This Row],[Especificações Materiais]],BASE_CORPOS[Materiais],0)), "-")</f>
        <v>0.28000000000000003</v>
      </c>
      <c r="I46" s="10">
        <f>IFERROR(INDEX(BASE_CORPOS[2000 Hz],MATCH(ABS_PARC_CORP11[[#This Row],[Especificações Materiais]],BASE_CORPOS[Materiais],0)), "-")</f>
        <v>0.34</v>
      </c>
      <c r="J46" s="11">
        <f>IFERROR(INDEX(BASE_CORPOS[4000 Hz],MATCH(ABS_PARC_CORP11[[#This Row],[Especificações Materiais]],BASE_CORPOS[Materiais],0)), "-")</f>
        <v>0.34</v>
      </c>
      <c r="K46" s="12">
        <f>IFERROR(SUM(ABS_PARC_CORP11[[#This Row],[250 Hz]:[2000 Hz]])/4,"-")</f>
        <v>0.29500000000000004</v>
      </c>
      <c r="L46" s="10" t="str">
        <f>IFERROR(INDEX(BASE_CORPOS[Fonte],MATCH(ABS_PARC_CORP11[[#This Row],[Especificações Materiais]],BASE_CORPOS[Materiais],0)),"-")</f>
        <v>USP - AUT0280; 2018</v>
      </c>
    </row>
    <row r="47" spans="2:12" x14ac:dyDescent="0.3">
      <c r="C47" s="97"/>
      <c r="D47" s="59"/>
      <c r="E47" s="13" t="str">
        <f>IFERROR(INDEX(BASE_CORPOS[125 Hz],MATCH(ABS_PARC_CORP11[[#This Row],[Especificações Materiais]],BASE_CORPOS[Materiais],0)), "-")</f>
        <v>-</v>
      </c>
      <c r="F47" s="14" t="str">
        <f>IFERROR(INDEX(BASE_CORPOS[250 Hz],MATCH(ABS_PARC_CORP11[[#This Row],[Especificações Materiais]],BASE_CORPOS[Materiais],0)), "-")</f>
        <v>-</v>
      </c>
      <c r="G47" s="14" t="str">
        <f>IFERROR(INDEX(BASE_CORPOS[500 Hz],MATCH(ABS_PARC_CORP11[[#This Row],[Especificações Materiais]],BASE_CORPOS[Materiais],0)), "-")</f>
        <v>-</v>
      </c>
      <c r="H47" s="14" t="str">
        <f>IFERROR(INDEX(BASE_CORPOS[1000 Hz],MATCH(ABS_PARC_CORP11[[#This Row],[Especificações Materiais]],BASE_CORPOS[Materiais],0)), "-")</f>
        <v>-</v>
      </c>
      <c r="I47" s="14" t="str">
        <f>IFERROR(INDEX(BASE_CORPOS[2000 Hz],MATCH(ABS_PARC_CORP11[[#This Row],[Especificações Materiais]],BASE_CORPOS[Materiais],0)), "-")</f>
        <v>-</v>
      </c>
      <c r="J47" s="15" t="str">
        <f>IFERROR(INDEX(BASE_CORPOS[4000 Hz],MATCH(ABS_PARC_CORP11[[#This Row],[Especificações Materiais]],BASE_CORPOS[Materiais],0)), "-")</f>
        <v>-</v>
      </c>
      <c r="K47" s="8">
        <f>IFERROR(SUM(ABS_PARC_CORP11[[#This Row],[250 Hz]:[2000 Hz]])/4,"-")</f>
        <v>0</v>
      </c>
      <c r="L47" s="14" t="str">
        <f>IFERROR(INDEX(BASE_CORPOS[Fonte],MATCH(ABS_PARC_CORP11[[#This Row],[Especificações Materiais]],BASE_CORPOS[Materiais],0)),"-")</f>
        <v>-</v>
      </c>
    </row>
    <row r="48" spans="2:12" x14ac:dyDescent="0.3">
      <c r="C48" s="96"/>
      <c r="D48" s="60"/>
      <c r="E48" s="9" t="str">
        <f>IFERROR(INDEX(BASE_CORPOS[125 Hz],MATCH(ABS_PARC_CORP11[[#This Row],[Especificações Materiais]],BASE_CORPOS[Materiais],0)), "-")</f>
        <v>-</v>
      </c>
      <c r="F48" s="10" t="str">
        <f>IFERROR(INDEX(BASE_CORPOS[250 Hz],MATCH(ABS_PARC_CORP11[[#This Row],[Especificações Materiais]],BASE_CORPOS[Materiais],0)), "-")</f>
        <v>-</v>
      </c>
      <c r="G48" s="10" t="str">
        <f>IFERROR(INDEX(BASE_CORPOS[500 Hz],MATCH(ABS_PARC_CORP11[[#This Row],[Especificações Materiais]],BASE_CORPOS[Materiais],0)), "-")</f>
        <v>-</v>
      </c>
      <c r="H48" s="10" t="str">
        <f>IFERROR(INDEX(BASE_CORPOS[1000 Hz],MATCH(ABS_PARC_CORP11[[#This Row],[Especificações Materiais]],BASE_CORPOS[Materiais],0)), "-")</f>
        <v>-</v>
      </c>
      <c r="I48" s="10" t="str">
        <f>IFERROR(INDEX(BASE_CORPOS[2000 Hz],MATCH(ABS_PARC_CORP11[[#This Row],[Especificações Materiais]],BASE_CORPOS[Materiais],0)), "-")</f>
        <v>-</v>
      </c>
      <c r="J48" s="11" t="str">
        <f>IFERROR(INDEX(BASE_CORPOS[4000 Hz],MATCH(ABS_PARC_CORP11[[#This Row],[Especificações Materiais]],BASE_CORPOS[Materiais],0)), "-")</f>
        <v>-</v>
      </c>
      <c r="K48" s="12">
        <f>IFERROR(SUM(ABS_PARC_CORP11[[#This Row],[250 Hz]:[2000 Hz]])/4,"-")</f>
        <v>0</v>
      </c>
      <c r="L48" s="10" t="str">
        <f>IFERROR(INDEX(BASE_CORPOS[Fonte],MATCH(ABS_PARC_CORP11[[#This Row],[Especificações Materiais]],BASE_CORPOS[Materiais],0)),"-")</f>
        <v>-</v>
      </c>
    </row>
    <row r="49" spans="3:12" x14ac:dyDescent="0.3">
      <c r="C49" s="98"/>
      <c r="D49" s="48"/>
      <c r="E49" s="13" t="str">
        <f>IFERROR(INDEX(BASE_CORPOS[125 Hz],MATCH(ABS_PARC_CORP11[[#This Row],[Especificações Materiais]],BASE_CORPOS[Materiais],0)), "-")</f>
        <v>-</v>
      </c>
      <c r="F49" s="14" t="str">
        <f>IFERROR(INDEX(BASE_CORPOS[250 Hz],MATCH(ABS_PARC_CORP11[[#This Row],[Especificações Materiais]],BASE_CORPOS[Materiais],0)), "-")</f>
        <v>-</v>
      </c>
      <c r="G49" s="14" t="str">
        <f>IFERROR(INDEX(BASE_CORPOS[500 Hz],MATCH(ABS_PARC_CORP11[[#This Row],[Especificações Materiais]],BASE_CORPOS[Materiais],0)), "-")</f>
        <v>-</v>
      </c>
      <c r="H49" s="14" t="str">
        <f>IFERROR(INDEX(BASE_CORPOS[1000 Hz],MATCH(ABS_PARC_CORP11[[#This Row],[Especificações Materiais]],BASE_CORPOS[Materiais],0)), "-")</f>
        <v>-</v>
      </c>
      <c r="I49" s="14" t="str">
        <f>IFERROR(INDEX(BASE_CORPOS[2000 Hz],MATCH(ABS_PARC_CORP11[[#This Row],[Especificações Materiais]],BASE_CORPOS[Materiais],0)), "-")</f>
        <v>-</v>
      </c>
      <c r="J49" s="15" t="str">
        <f>IFERROR(INDEX(BASE_CORPOS[4000 Hz],MATCH(ABS_PARC_CORP11[[#This Row],[Especificações Materiais]],BASE_CORPOS[Materiais],0)), "-")</f>
        <v>-</v>
      </c>
      <c r="K49" s="8">
        <f>IFERROR(SUM(ABS_PARC_CORP11[[#This Row],[250 Hz]:[2000 Hz]])/4,"-")</f>
        <v>0</v>
      </c>
      <c r="L49" s="14" t="str">
        <f>IFERROR(INDEX(BASE_CORPOS[Fonte],MATCH(ABS_PARC_CORP11[[#This Row],[Especificações Materiais]],BASE_CORPOS[Materiais],0)),"-")</f>
        <v>-</v>
      </c>
    </row>
    <row r="50" spans="3:12" x14ac:dyDescent="0.3">
      <c r="C50" s="99"/>
      <c r="D50" s="49"/>
      <c r="E50" s="9" t="str">
        <f>IFERROR(INDEX(BASE_CORPOS[125 Hz],MATCH(ABS_PARC_CORP11[[#This Row],[Especificações Materiais]],BASE_CORPOS[Materiais],0)), "-")</f>
        <v>-</v>
      </c>
      <c r="F50" s="10" t="str">
        <f>IFERROR(INDEX(BASE_CORPOS[250 Hz],MATCH(ABS_PARC_CORP11[[#This Row],[Especificações Materiais]],BASE_CORPOS[Materiais],0)), "-")</f>
        <v>-</v>
      </c>
      <c r="G50" s="10" t="str">
        <f>IFERROR(INDEX(BASE_CORPOS[500 Hz],MATCH(ABS_PARC_CORP11[[#This Row],[Especificações Materiais]],BASE_CORPOS[Materiais],0)), "-")</f>
        <v>-</v>
      </c>
      <c r="H50" s="10" t="str">
        <f>IFERROR(INDEX(BASE_CORPOS[1000 Hz],MATCH(ABS_PARC_CORP11[[#This Row],[Especificações Materiais]],BASE_CORPOS[Materiais],0)), "-")</f>
        <v>-</v>
      </c>
      <c r="I50" s="10" t="str">
        <f>IFERROR(INDEX(BASE_CORPOS[2000 Hz],MATCH(ABS_PARC_CORP11[[#This Row],[Especificações Materiais]],BASE_CORPOS[Materiais],0)), "-")</f>
        <v>-</v>
      </c>
      <c r="J50" s="11" t="str">
        <f>IFERROR(INDEX(BASE_CORPOS[4000 Hz],MATCH(ABS_PARC_CORP11[[#This Row],[Especificações Materiais]],BASE_CORPOS[Materiais],0)), "-")</f>
        <v>-</v>
      </c>
      <c r="K50" s="12">
        <f>IFERROR(SUM(ABS_PARC_CORP11[[#This Row],[250 Hz]:[2000 Hz]])/4,"-")</f>
        <v>0</v>
      </c>
      <c r="L50" s="10" t="str">
        <f>IFERROR(INDEX(BASE_CORPOS[Fonte],MATCH(ABS_PARC_CORP11[[#This Row],[Especificações Materiais]],BASE_CORPOS[Materiais],0)),"-")</f>
        <v>-</v>
      </c>
    </row>
    <row r="51" spans="3:12" x14ac:dyDescent="0.3">
      <c r="C51" s="98"/>
      <c r="D51" s="48"/>
      <c r="E51" s="13" t="str">
        <f>IFERROR(INDEX(BASE_CORPOS[125 Hz],MATCH(ABS_PARC_CORP11[[#This Row],[Especificações Materiais]],BASE_CORPOS[Materiais],0)), "-")</f>
        <v>-</v>
      </c>
      <c r="F51" s="14" t="str">
        <f>IFERROR(INDEX(BASE_CORPOS[250 Hz],MATCH(ABS_PARC_CORP11[[#This Row],[Especificações Materiais]],BASE_CORPOS[Materiais],0)), "-")</f>
        <v>-</v>
      </c>
      <c r="G51" s="14" t="str">
        <f>IFERROR(INDEX(BASE_CORPOS[500 Hz],MATCH(ABS_PARC_CORP11[[#This Row],[Especificações Materiais]],BASE_CORPOS[Materiais],0)), "-")</f>
        <v>-</v>
      </c>
      <c r="H51" s="14" t="str">
        <f>IFERROR(INDEX(BASE_CORPOS[1000 Hz],MATCH(ABS_PARC_CORP11[[#This Row],[Especificações Materiais]],BASE_CORPOS[Materiais],0)), "-")</f>
        <v>-</v>
      </c>
      <c r="I51" s="14" t="str">
        <f>IFERROR(INDEX(BASE_CORPOS[2000 Hz],MATCH(ABS_PARC_CORP11[[#This Row],[Especificações Materiais]],BASE_CORPOS[Materiais],0)), "-")</f>
        <v>-</v>
      </c>
      <c r="J51" s="15" t="str">
        <f>IFERROR(INDEX(BASE_CORPOS[4000 Hz],MATCH(ABS_PARC_CORP11[[#This Row],[Especificações Materiais]],BASE_CORPOS[Materiais],0)), "-")</f>
        <v>-</v>
      </c>
      <c r="K51" s="8">
        <f>IFERROR(SUM(ABS_PARC_CORP11[[#This Row],[250 Hz]:[2000 Hz]])/4,"-")</f>
        <v>0</v>
      </c>
      <c r="L51" s="14" t="str">
        <f>IFERROR(INDEX(BASE_CORPOS[Fonte],MATCH(ABS_PARC_CORP11[[#This Row],[Especificações Materiais]],BASE_CORPOS[Materiais],0)),"-")</f>
        <v>-</v>
      </c>
    </row>
    <row r="52" spans="3:12" x14ac:dyDescent="0.3">
      <c r="C52" s="100" t="s">
        <v>77</v>
      </c>
      <c r="D52" s="16" t="s">
        <v>36</v>
      </c>
      <c r="E52" s="17">
        <f>SUMPRODUCT(ABS_PARC_CORP11[Quant. '[Un.']],ABS_PARC_CORP11[125 Hz])</f>
        <v>0</v>
      </c>
      <c r="F52" s="17">
        <f>SUMPRODUCT(ABS_PARC_CORP11[Quant. '[Un.']],ABS_PARC_CORP11[250 Hz])</f>
        <v>0</v>
      </c>
      <c r="G52" s="17">
        <f>SUMPRODUCT(ABS_PARC_CORP11[Quant. '[Un.']],ABS_PARC_CORP11[500 Hz])</f>
        <v>0</v>
      </c>
      <c r="H52" s="17">
        <f>SUMPRODUCT(ABS_PARC_CORP11[Quant. '[Un.']],ABS_PARC_CORP11[1000 Hz])</f>
        <v>0</v>
      </c>
      <c r="I52" s="17">
        <f>SUMPRODUCT(ABS_PARC_CORP11[Quant. '[Un.']],ABS_PARC_CORP11[2000 Hz])</f>
        <v>0</v>
      </c>
      <c r="J52" s="17">
        <f>SUMPRODUCT(ABS_PARC_CORP11[Quant. '[Un.']],ABS_PARC_CORP11[4000 Hz])</f>
        <v>0</v>
      </c>
      <c r="K52" s="17">
        <f>SUMPRODUCT(ABS_PARC_CORP11[Quant. '[Un.']],ABS_PARC_CORP11[CRR])</f>
        <v>0</v>
      </c>
      <c r="L52" s="17"/>
    </row>
    <row r="54" spans="3:12" ht="15" thickBot="1" x14ac:dyDescent="0.35">
      <c r="C54" s="75" t="s">
        <v>79</v>
      </c>
    </row>
    <row r="55" spans="3:12" ht="15" thickBot="1" x14ac:dyDescent="0.35">
      <c r="E55" s="28" t="s">
        <v>62</v>
      </c>
      <c r="F55" s="27" t="s">
        <v>63</v>
      </c>
      <c r="G55" s="27" t="s">
        <v>65</v>
      </c>
      <c r="H55" s="27" t="s">
        <v>64</v>
      </c>
      <c r="I55" s="27" t="s">
        <v>66</v>
      </c>
      <c r="J55" s="27" t="s">
        <v>67</v>
      </c>
      <c r="K55" s="29" t="s">
        <v>69</v>
      </c>
    </row>
    <row r="56" spans="3:12" ht="15" thickBot="1" x14ac:dyDescent="0.35">
      <c r="C56" s="101" t="s">
        <v>82</v>
      </c>
      <c r="D56" s="102"/>
      <c r="E56" s="103">
        <f>(ABS_PARC_SUP10[[#Totals],[125 Hz]]+E52)/$D$39</f>
        <v>0.11494469026548673</v>
      </c>
      <c r="F56" s="103">
        <f>(ABS_PARC_SUP10[[#Totals],[250 Hz]]+F52)/$D$39</f>
        <v>0.14537610619469027</v>
      </c>
      <c r="G56" s="103">
        <f>(ABS_PARC_SUP10[[#Totals],[500 Hz]]+G52)/$D$39</f>
        <v>0.20806415929203539</v>
      </c>
      <c r="H56" s="103">
        <f>(ABS_PARC_SUP10[[#Totals],[1000 Hz]]+H52)/$D$39</f>
        <v>0.26499446902654872</v>
      </c>
      <c r="I56" s="103">
        <f>(ABS_PARC_SUP10[[#Totals],[2000 Hz]]+I52)/$D$39</f>
        <v>0.2624419247787611</v>
      </c>
      <c r="J56" s="103">
        <f>(ABS_PARC_SUP10[[#Totals],[4000 Hz]]+J52)/$D$39</f>
        <v>0.26651548672566372</v>
      </c>
      <c r="K56" s="104">
        <f>AVERAGE(F56:I56)</f>
        <v>0.22021916482300885</v>
      </c>
    </row>
    <row r="58" spans="3:12" ht="15" thickBot="1" x14ac:dyDescent="0.35">
      <c r="C58" s="75" t="s">
        <v>83</v>
      </c>
    </row>
    <row r="59" spans="3:12" ht="15" thickBot="1" x14ac:dyDescent="0.35">
      <c r="E59" s="28" t="s">
        <v>62</v>
      </c>
      <c r="F59" s="27" t="s">
        <v>63</v>
      </c>
      <c r="G59" s="27" t="s">
        <v>65</v>
      </c>
      <c r="H59" s="27" t="s">
        <v>64</v>
      </c>
      <c r="I59" s="27" t="s">
        <v>66</v>
      </c>
      <c r="J59" s="27" t="s">
        <v>67</v>
      </c>
      <c r="K59" s="29" t="s">
        <v>69</v>
      </c>
    </row>
    <row r="60" spans="3:12" ht="15" thickBot="1" x14ac:dyDescent="0.35">
      <c r="C60" s="101" t="s">
        <v>84</v>
      </c>
      <c r="D60" s="102"/>
      <c r="E60" s="103">
        <f t="shared" ref="E60:J60" si="0">E37*$O$14+$D$39*IF($K$56&gt;0.3,-LN(1-E56),E56)</f>
        <v>33.251199999999997</v>
      </c>
      <c r="F60" s="103">
        <f t="shared" si="0"/>
        <v>42.054399999999994</v>
      </c>
      <c r="G60" s="103">
        <f t="shared" si="0"/>
        <v>60.188799999999993</v>
      </c>
      <c r="H60" s="103">
        <f t="shared" si="0"/>
        <v>76.657600000000002</v>
      </c>
      <c r="I60" s="103">
        <f t="shared" si="0"/>
        <v>79.114080000000001</v>
      </c>
      <c r="J60" s="103">
        <f t="shared" si="0"/>
        <v>86.682240000000007</v>
      </c>
      <c r="K60" s="104">
        <f>J37*$O$14+$D$39*IF($K$56&gt;0.3,-LN(1-K56),K56)</f>
        <v>73.289639999999991</v>
      </c>
    </row>
    <row r="62" spans="3:12" ht="15" thickBot="1" x14ac:dyDescent="0.35">
      <c r="C62" s="75" t="s">
        <v>182</v>
      </c>
    </row>
    <row r="63" spans="3:12" ht="15" thickBot="1" x14ac:dyDescent="0.35">
      <c r="E63" s="28" t="s">
        <v>62</v>
      </c>
      <c r="F63" s="27" t="s">
        <v>63</v>
      </c>
      <c r="G63" s="27" t="s">
        <v>65</v>
      </c>
      <c r="H63" s="27" t="s">
        <v>64</v>
      </c>
      <c r="I63" s="27" t="s">
        <v>66</v>
      </c>
      <c r="J63" s="27" t="s">
        <v>67</v>
      </c>
      <c r="K63" s="29" t="s">
        <v>69</v>
      </c>
    </row>
    <row r="64" spans="3:12" ht="15" thickBot="1" x14ac:dyDescent="0.35">
      <c r="C64" s="101" t="s">
        <v>183</v>
      </c>
      <c r="D64" s="102"/>
      <c r="E64" s="166">
        <v>3.2000000000000001E-2</v>
      </c>
      <c r="F64" s="166">
        <v>2.1999999999999999E-2</v>
      </c>
      <c r="G64" s="166">
        <v>0.02</v>
      </c>
      <c r="H64" s="166">
        <v>2.4E-2</v>
      </c>
      <c r="I64" s="166">
        <v>2.8000000000000001E-2</v>
      </c>
      <c r="J64" s="166">
        <v>5.3999999999999999E-2</v>
      </c>
      <c r="K64" s="104">
        <f>AVERAGE(F64:I64)</f>
        <v>2.35E-2</v>
      </c>
    </row>
    <row r="66" spans="3:11" ht="15" thickBot="1" x14ac:dyDescent="0.35">
      <c r="C66" s="75" t="s">
        <v>179</v>
      </c>
    </row>
    <row r="67" spans="3:11" ht="15" thickBot="1" x14ac:dyDescent="0.35">
      <c r="E67" s="28" t="s">
        <v>62</v>
      </c>
      <c r="F67" s="27" t="s">
        <v>63</v>
      </c>
      <c r="G67" s="27" t="s">
        <v>65</v>
      </c>
      <c r="H67" s="27" t="s">
        <v>64</v>
      </c>
      <c r="I67" s="27" t="s">
        <v>66</v>
      </c>
      <c r="J67" s="27" t="s">
        <v>67</v>
      </c>
      <c r="K67" s="46" t="s">
        <v>188</v>
      </c>
    </row>
    <row r="68" spans="3:11" ht="15" thickBot="1" x14ac:dyDescent="0.35">
      <c r="C68" s="101" t="s">
        <v>184</v>
      </c>
      <c r="D68" s="102"/>
      <c r="E68" s="103">
        <f t="shared" ref="E68:J68" si="1">0.161*($O$14/(($O$13*E64)+(E37*$O$14)))</f>
        <v>5.5566371681415934</v>
      </c>
      <c r="F68" s="103">
        <f t="shared" si="1"/>
        <v>8.0823813354786811</v>
      </c>
      <c r="G68" s="103">
        <f t="shared" si="1"/>
        <v>8.8906194690265483</v>
      </c>
      <c r="H68" s="103">
        <f t="shared" si="1"/>
        <v>7.4088495575221245</v>
      </c>
      <c r="I68" s="103">
        <f t="shared" si="1"/>
        <v>4.5541251133272898</v>
      </c>
      <c r="J68" s="103">
        <f t="shared" si="1"/>
        <v>2.0407068860450948</v>
      </c>
      <c r="K68" s="104">
        <f>0.161*($O$14/(($O$13*K64)+(K37*$O$14)))</f>
        <v>6.7709519797809605</v>
      </c>
    </row>
    <row r="70" spans="3:11" ht="15" thickBot="1" x14ac:dyDescent="0.35">
      <c r="C70" s="75" t="s">
        <v>180</v>
      </c>
    </row>
    <row r="71" spans="3:11" ht="15" thickBot="1" x14ac:dyDescent="0.35">
      <c r="E71" s="28" t="s">
        <v>62</v>
      </c>
      <c r="F71" s="27" t="s">
        <v>63</v>
      </c>
      <c r="G71" s="27" t="s">
        <v>65</v>
      </c>
      <c r="H71" s="27" t="s">
        <v>64</v>
      </c>
      <c r="I71" s="27" t="s">
        <v>66</v>
      </c>
      <c r="J71" s="27" t="s">
        <v>67</v>
      </c>
      <c r="K71" s="29" t="s">
        <v>189</v>
      </c>
    </row>
    <row r="72" spans="3:11" ht="15" thickBot="1" x14ac:dyDescent="0.35">
      <c r="C72" s="101" t="s">
        <v>185</v>
      </c>
      <c r="D72" s="102"/>
      <c r="E72" s="103">
        <f t="shared" ref="E72:K72" si="2">0.161*($O$14/E60)</f>
        <v>1.5469386969492833</v>
      </c>
      <c r="F72" s="103">
        <f t="shared" si="2"/>
        <v>1.2231197686805664</v>
      </c>
      <c r="G72" s="103">
        <f t="shared" si="2"/>
        <v>0.85460364719017501</v>
      </c>
      <c r="H72" s="103">
        <f t="shared" si="2"/>
        <v>0.6710041535346789</v>
      </c>
      <c r="I72" s="103">
        <f t="shared" si="2"/>
        <v>0.65016957790572805</v>
      </c>
      <c r="J72" s="103">
        <f t="shared" si="2"/>
        <v>0.59340376990719201</v>
      </c>
      <c r="K72" s="104">
        <f t="shared" si="2"/>
        <v>0.70183955058313841</v>
      </c>
    </row>
    <row r="74" spans="3:11" ht="15" thickBot="1" x14ac:dyDescent="0.35">
      <c r="C74" s="75" t="s">
        <v>181</v>
      </c>
    </row>
    <row r="75" spans="3:11" ht="15" thickBot="1" x14ac:dyDescent="0.35">
      <c r="E75" s="28" t="s">
        <v>62</v>
      </c>
      <c r="F75" s="27" t="s">
        <v>63</v>
      </c>
      <c r="G75" s="27" t="s">
        <v>65</v>
      </c>
      <c r="H75" s="27" t="s">
        <v>64</v>
      </c>
      <c r="I75" s="27" t="s">
        <v>66</v>
      </c>
      <c r="J75" s="27" t="s">
        <v>67</v>
      </c>
      <c r="K75" s="46" t="s">
        <v>109</v>
      </c>
    </row>
    <row r="76" spans="3:11" ht="15" thickBot="1" x14ac:dyDescent="0.35">
      <c r="C76" s="101" t="s">
        <v>186</v>
      </c>
      <c r="D76" s="102"/>
      <c r="E76" s="103">
        <f>1.8*$K$76</f>
        <v>1.26940224</v>
      </c>
      <c r="F76" s="103">
        <f>1.45*$K$76</f>
        <v>1.0225740266666667</v>
      </c>
      <c r="G76" s="103">
        <f>$K$76</f>
        <v>0.70522346666666669</v>
      </c>
      <c r="H76" s="103">
        <f>$K$76</f>
        <v>0.70522346666666669</v>
      </c>
      <c r="I76" s="103">
        <f>$K$76</f>
        <v>0.70522346666666669</v>
      </c>
      <c r="J76" s="103">
        <f>$K$76</f>
        <v>0.70522346666666669</v>
      </c>
      <c r="K76" s="104">
        <f>O18</f>
        <v>0.70522346666666669</v>
      </c>
    </row>
    <row r="78" spans="3:11" ht="15" thickBot="1" x14ac:dyDescent="0.35">
      <c r="J78" s="224" t="s">
        <v>239</v>
      </c>
      <c r="K78" s="224"/>
    </row>
    <row r="79" spans="3:11" ht="15" thickTop="1" x14ac:dyDescent="0.3">
      <c r="J79" s="225" t="s">
        <v>236</v>
      </c>
      <c r="K79" s="226">
        <f>(E72+F72)/(G72+H72)</f>
        <v>1.8157081160136483</v>
      </c>
    </row>
    <row r="80" spans="3:11" x14ac:dyDescent="0.3">
      <c r="J80" s="209"/>
      <c r="K80" s="220"/>
    </row>
    <row r="81" spans="10:11" ht="15" thickBot="1" x14ac:dyDescent="0.35">
      <c r="J81" s="224" t="s">
        <v>238</v>
      </c>
      <c r="K81" s="224"/>
    </row>
    <row r="82" spans="10:11" ht="15" thickTop="1" x14ac:dyDescent="0.3">
      <c r="J82" s="225" t="s">
        <v>237</v>
      </c>
      <c r="K82" s="226">
        <f>(I72+J72)/(G72+H72)</f>
        <v>0.81513305531216329</v>
      </c>
    </row>
    <row r="84" spans="10:11" ht="15" thickBot="1" x14ac:dyDescent="0.35">
      <c r="J84" s="224" t="s">
        <v>240</v>
      </c>
      <c r="K84" s="224"/>
    </row>
    <row r="85" spans="10:11" ht="15" thickTop="1" x14ac:dyDescent="0.3">
      <c r="J85" s="209" t="s">
        <v>232</v>
      </c>
      <c r="K85" s="220">
        <f>10*LOG(EXP(0.05*(340*((O13*K64)/(4*O14))))-1)</f>
        <v>-10.238943836268193</v>
      </c>
    </row>
    <row r="86" spans="10:11" ht="15" thickBot="1" x14ac:dyDescent="0.35">
      <c r="J86" s="222" t="s">
        <v>233</v>
      </c>
      <c r="K86" s="223">
        <f>10*LOG(EXP(0.05*(340*((D39*K56)/(4*O14))))-1)</f>
        <v>1.2504518754725797</v>
      </c>
    </row>
    <row r="87" spans="10:11" ht="15" thickTop="1" x14ac:dyDescent="0.3">
      <c r="J87" s="209" t="s">
        <v>230</v>
      </c>
      <c r="K87" s="220">
        <f>10*LOG(EXP(0.08*(340*((O13*K64)/(4*O14))))-1)</f>
        <v>-8.0776140684754623</v>
      </c>
    </row>
    <row r="88" spans="10:11" ht="15" thickBot="1" x14ac:dyDescent="0.35">
      <c r="J88" s="222" t="s">
        <v>231</v>
      </c>
      <c r="K88" s="223">
        <f>10*LOG(EXP(0.08*(340*((D39*K56)/(4*O14))))-1)</f>
        <v>4.5943083271875578</v>
      </c>
    </row>
    <row r="89" spans="10:11" ht="15" thickTop="1" x14ac:dyDescent="0.3"/>
    <row r="90" spans="10:11" ht="15" thickBot="1" x14ac:dyDescent="0.35">
      <c r="J90" s="224" t="s">
        <v>243</v>
      </c>
      <c r="K90" s="224"/>
    </row>
    <row r="91" spans="10:11" ht="15" thickTop="1" x14ac:dyDescent="0.3">
      <c r="J91" s="209" t="s">
        <v>234</v>
      </c>
      <c r="K91" s="220">
        <f>1-EXP(-((340*((O13*K64)/(4*O14)))*0.05))</f>
        <v>8.6463265180157789E-2</v>
      </c>
    </row>
    <row r="92" spans="10:11" x14ac:dyDescent="0.3">
      <c r="J92" s="206" t="s">
        <v>235</v>
      </c>
      <c r="K92" s="221">
        <f>1-EXP(-((340*((D39*K56)/(4*O14)))*0.05))</f>
        <v>0.57148859789043138</v>
      </c>
    </row>
    <row r="93" spans="10:11" x14ac:dyDescent="0.3">
      <c r="J93" s="209"/>
      <c r="K93" s="220"/>
    </row>
    <row r="94" spans="10:11" ht="15" thickBot="1" x14ac:dyDescent="0.35">
      <c r="J94" s="224" t="s">
        <v>242</v>
      </c>
      <c r="K94" s="224"/>
    </row>
    <row r="95" spans="10:11" ht="15.6" thickTop="1" thickBot="1" x14ac:dyDescent="0.35">
      <c r="J95" s="225" t="s">
        <v>241</v>
      </c>
      <c r="K95" s="227">
        <v>10</v>
      </c>
    </row>
    <row r="96" spans="10:11" ht="15" thickTop="1" x14ac:dyDescent="0.3">
      <c r="J96" s="225" t="s">
        <v>244</v>
      </c>
      <c r="K96" s="226">
        <f>10*LOG((G72/O14)+10*LOG(16*PI()*K95^2)/0.161)</f>
        <v>23.615299273385002</v>
      </c>
    </row>
    <row r="97" spans="3:11" ht="15" thickBot="1" x14ac:dyDescent="0.35"/>
    <row r="98" spans="3:11" ht="15" thickBot="1" x14ac:dyDescent="0.35">
      <c r="E98" s="28" t="s">
        <v>62</v>
      </c>
      <c r="F98" s="27" t="s">
        <v>63</v>
      </c>
      <c r="G98" s="27" t="s">
        <v>65</v>
      </c>
      <c r="H98" s="27" t="s">
        <v>64</v>
      </c>
      <c r="I98" s="27" t="s">
        <v>66</v>
      </c>
      <c r="J98" s="27" t="s">
        <v>67</v>
      </c>
      <c r="K98" s="46" t="s">
        <v>69</v>
      </c>
    </row>
    <row r="99" spans="3:11" ht="15" thickBot="1" x14ac:dyDescent="0.35">
      <c r="C99" s="101" t="s">
        <v>117</v>
      </c>
      <c r="D99" s="102"/>
      <c r="E99" s="105">
        <f>(E72-E76)/E76</f>
        <v>0.2186355500280851</v>
      </c>
      <c r="F99" s="105">
        <f>(F72-F76)/F76</f>
        <v>0.19611855648986914</v>
      </c>
      <c r="G99" s="105">
        <f>(G72-G76)/G76</f>
        <v>0.21181963956697836</v>
      </c>
      <c r="H99" s="105">
        <f>(H72-H76)/H76</f>
        <v>-4.8522652392340201E-2</v>
      </c>
      <c r="I99" s="105">
        <f>(I72-I76)/I76</f>
        <v>-7.8065877502854847E-2</v>
      </c>
      <c r="J99" s="105">
        <f>(J72-J76)/J76</f>
        <v>-0.15855923979388473</v>
      </c>
      <c r="K99" s="106">
        <f>(K72-K76)/K76</f>
        <v>-4.7983600141992093E-3</v>
      </c>
    </row>
    <row r="102" spans="3:11" ht="15" thickBot="1" x14ac:dyDescent="0.35">
      <c r="C102" s="75" t="s">
        <v>201</v>
      </c>
    </row>
    <row r="103" spans="3:11" ht="15" thickBot="1" x14ac:dyDescent="0.35">
      <c r="E103" s="28" t="s">
        <v>62</v>
      </c>
      <c r="F103" s="27" t="s">
        <v>63</v>
      </c>
      <c r="G103" s="27" t="s">
        <v>65</v>
      </c>
      <c r="H103" s="27" t="s">
        <v>64</v>
      </c>
      <c r="I103" s="27" t="s">
        <v>66</v>
      </c>
      <c r="J103" s="27" t="s">
        <v>67</v>
      </c>
      <c r="K103" s="29" t="s">
        <v>69</v>
      </c>
    </row>
    <row r="104" spans="3:11" ht="15" thickBot="1" x14ac:dyDescent="0.35">
      <c r="C104" s="107" t="s">
        <v>111</v>
      </c>
      <c r="D104" s="108"/>
      <c r="E104" s="109">
        <f>0.161*($O$14/E76)</f>
        <v>40.521094401093862</v>
      </c>
      <c r="F104" s="109">
        <f>0.161*($O$14/F76)</f>
        <v>50.302048222047539</v>
      </c>
      <c r="G104" s="109">
        <f>0.161*($O$14/G76)</f>
        <v>72.937969921968943</v>
      </c>
      <c r="H104" s="109">
        <f>0.161*($O$14/H76)</f>
        <v>72.937969921968943</v>
      </c>
      <c r="I104" s="109">
        <f>0.161*($O$14/I76)</f>
        <v>72.937969921968943</v>
      </c>
      <c r="J104" s="109">
        <f>0.161*($O$14/J76)</f>
        <v>72.937969921968943</v>
      </c>
      <c r="K104" s="110">
        <f>0.161*($O$14/K76)</f>
        <v>72.937969921968943</v>
      </c>
    </row>
    <row r="105" spans="3:11" ht="15" thickBot="1" x14ac:dyDescent="0.35">
      <c r="C105" s="111" t="s">
        <v>121</v>
      </c>
      <c r="D105" s="112"/>
      <c r="E105" s="51">
        <f>1-EXP(-E104/$D$39)</f>
        <v>0.13070756022347407</v>
      </c>
      <c r="F105" s="52">
        <f t="shared" ref="F105:K105" si="3">1-EXP(-F104/$D$39)</f>
        <v>0.15960819241325241</v>
      </c>
      <c r="G105" s="52">
        <f t="shared" si="3"/>
        <v>0.22286114228248677</v>
      </c>
      <c r="H105" s="52">
        <f t="shared" si="3"/>
        <v>0.22286114228248677</v>
      </c>
      <c r="I105" s="52">
        <f t="shared" si="3"/>
        <v>0.22286114228248677</v>
      </c>
      <c r="J105" s="52">
        <f t="shared" si="3"/>
        <v>0.22286114228248677</v>
      </c>
      <c r="K105" s="53">
        <f t="shared" si="3"/>
        <v>0.22286114228248677</v>
      </c>
    </row>
    <row r="106" spans="3:11" x14ac:dyDescent="0.3">
      <c r="C106" s="113"/>
      <c r="D106" s="113"/>
      <c r="E106" s="113"/>
      <c r="F106" s="113"/>
      <c r="G106" s="113"/>
      <c r="H106" s="113"/>
      <c r="I106" s="113"/>
      <c r="J106" s="113"/>
      <c r="K106" s="113"/>
    </row>
    <row r="107" spans="3:11" x14ac:dyDescent="0.3">
      <c r="C107" s="114" t="s">
        <v>202</v>
      </c>
      <c r="D107" s="113"/>
      <c r="E107" s="113"/>
      <c r="F107" s="113"/>
      <c r="G107" s="113"/>
      <c r="H107" s="113"/>
      <c r="I107" s="113"/>
      <c r="J107" s="113"/>
      <c r="K107" s="113"/>
    </row>
    <row r="108" spans="3:11" ht="15" thickBot="1" x14ac:dyDescent="0.35">
      <c r="C108" s="113"/>
      <c r="D108" s="113"/>
      <c r="E108" s="113"/>
      <c r="F108" s="113"/>
      <c r="G108" s="113"/>
      <c r="H108" s="113"/>
      <c r="I108" s="113"/>
      <c r="J108" s="113"/>
      <c r="K108" s="113"/>
    </row>
    <row r="109" spans="3:11" ht="15" thickBot="1" x14ac:dyDescent="0.35">
      <c r="C109" s="115" t="s">
        <v>110</v>
      </c>
      <c r="D109" s="57">
        <v>50</v>
      </c>
      <c r="E109" s="113"/>
      <c r="F109" s="113"/>
      <c r="G109" s="113"/>
      <c r="H109" s="113"/>
      <c r="I109" s="113"/>
      <c r="J109" s="113"/>
      <c r="K109" s="113"/>
    </row>
    <row r="110" spans="3:11" ht="15" thickBot="1" x14ac:dyDescent="0.35">
      <c r="C110" s="113"/>
      <c r="D110" s="113"/>
      <c r="E110" s="113"/>
      <c r="F110" s="113"/>
      <c r="G110" s="113"/>
      <c r="H110" s="113"/>
      <c r="I110" s="113"/>
      <c r="J110" s="113"/>
      <c r="K110" s="113"/>
    </row>
    <row r="111" spans="3:11" ht="15" thickBot="1" x14ac:dyDescent="0.35">
      <c r="C111" s="113"/>
      <c r="D111" s="113"/>
      <c r="E111" s="54" t="s">
        <v>62</v>
      </c>
      <c r="F111" s="55" t="s">
        <v>63</v>
      </c>
      <c r="G111" s="55" t="s">
        <v>65</v>
      </c>
      <c r="H111" s="55" t="s">
        <v>64</v>
      </c>
      <c r="I111" s="55" t="s">
        <v>66</v>
      </c>
      <c r="J111" s="55" t="s">
        <v>67</v>
      </c>
      <c r="K111" s="56" t="s">
        <v>69</v>
      </c>
    </row>
    <row r="112" spans="3:11" ht="15" thickBot="1" x14ac:dyDescent="0.35">
      <c r="C112" s="116"/>
      <c r="D112" s="117"/>
      <c r="E112" s="118">
        <f>(E104-E60)/$D$109</f>
        <v>0.14539788802187728</v>
      </c>
      <c r="F112" s="118">
        <f>(F104-F60)/$D$109</f>
        <v>0.16495296444095089</v>
      </c>
      <c r="G112" s="118">
        <f>(G104-G60)/$D$109</f>
        <v>0.25498339843937901</v>
      </c>
      <c r="H112" s="118">
        <f>(H104-H60)/$D$109</f>
        <v>-7.4392601560621191E-2</v>
      </c>
      <c r="I112" s="118">
        <f>(I104-I60)/$D$109</f>
        <v>-0.12352220156062117</v>
      </c>
      <c r="J112" s="118">
        <f>(J104-J60)/$D$109</f>
        <v>-0.2748854015606213</v>
      </c>
      <c r="K112" s="119">
        <f>(K104-K60)/$D$109</f>
        <v>-7.0334015606209731E-3</v>
      </c>
    </row>
    <row r="114" spans="3:11" x14ac:dyDescent="0.3">
      <c r="C114" s="75" t="s">
        <v>203</v>
      </c>
    </row>
    <row r="115" spans="3:11" ht="15" thickBot="1" x14ac:dyDescent="0.35"/>
    <row r="116" spans="3:11" ht="15" thickBot="1" x14ac:dyDescent="0.35">
      <c r="E116" s="146" t="s">
        <v>62</v>
      </c>
      <c r="F116" s="147" t="s">
        <v>63</v>
      </c>
      <c r="G116" s="148" t="s">
        <v>65</v>
      </c>
      <c r="H116" s="27" t="s">
        <v>64</v>
      </c>
      <c r="I116" s="27" t="s">
        <v>66</v>
      </c>
      <c r="J116" s="27" t="s">
        <v>67</v>
      </c>
      <c r="K116" s="29" t="s">
        <v>69</v>
      </c>
    </row>
    <row r="117" spans="3:11" ht="15" thickBot="1" x14ac:dyDescent="0.35">
      <c r="C117" s="116" t="s">
        <v>167</v>
      </c>
      <c r="D117" s="149"/>
      <c r="E117" s="150">
        <f>IF((E104-E60)&gt;0,E104-E60,0)</f>
        <v>7.2698944010938646</v>
      </c>
      <c r="F117" s="151">
        <f>IF((F104-F60)&gt;0,F104-F60,0)</f>
        <v>8.2476482220475447</v>
      </c>
      <c r="G117" s="118">
        <f>IF((G104-G60)&gt;0,G104-G60,0)</f>
        <v>12.749169921968949</v>
      </c>
      <c r="H117" s="118">
        <f>IF((H104-H60)&gt;0,H104-H60,0)</f>
        <v>0</v>
      </c>
      <c r="I117" s="118">
        <f>IF((I104-I60)&gt;0,I104-I60,0)</f>
        <v>0</v>
      </c>
      <c r="J117" s="118">
        <f>IF((J104-J60)&gt;0,J104-J60,0)</f>
        <v>0</v>
      </c>
      <c r="K117" s="119">
        <f>IF((K104-K60)&gt;0,K104-K60,0)</f>
        <v>0</v>
      </c>
    </row>
    <row r="118" spans="3:11" ht="15" thickBot="1" x14ac:dyDescent="0.35">
      <c r="C118" s="152" t="s">
        <v>168</v>
      </c>
      <c r="D118" s="153" t="s">
        <v>169</v>
      </c>
      <c r="E118" s="154">
        <f>E117/(9200/(125^2))</f>
        <v>12.346967393162135</v>
      </c>
      <c r="F118" s="155">
        <f>F117/(9200/(250^2))</f>
        <v>56.03021889977952</v>
      </c>
      <c r="G118" s="156">
        <f>G117/(9200/(500^2))</f>
        <v>346.44483483611276</v>
      </c>
      <c r="H118" s="156">
        <f>H117/(9200/(1000^2))</f>
        <v>0</v>
      </c>
      <c r="I118" s="156">
        <f>I117/(9200/(2000^2))</f>
        <v>0</v>
      </c>
      <c r="J118" s="156">
        <f>J117/(9200/(4000^2))</f>
        <v>0</v>
      </c>
      <c r="K118" s="157" t="s">
        <v>36</v>
      </c>
    </row>
    <row r="119" spans="3:11" ht="15" thickBot="1" x14ac:dyDescent="0.35">
      <c r="C119" s="158" t="s">
        <v>170</v>
      </c>
      <c r="D119" s="159" t="s">
        <v>171</v>
      </c>
      <c r="E119" s="160">
        <f>((3.1415*(15.5/2)^2)/1000)*E118</f>
        <v>2.3297041338162323</v>
      </c>
      <c r="F119" s="161">
        <f>((3.1415*(6.35/2)^2)/1000)*F118</f>
        <v>1.7743808531833873</v>
      </c>
    </row>
    <row r="120" spans="3:11" ht="15" thickBot="1" x14ac:dyDescent="0.35">
      <c r="E120" s="162" t="s">
        <v>172</v>
      </c>
      <c r="F120" s="162" t="s">
        <v>173</v>
      </c>
    </row>
    <row r="121" spans="3:11" ht="15" thickTop="1" x14ac:dyDescent="0.3"/>
  </sheetData>
  <sheetProtection selectLockedCells="1"/>
  <mergeCells count="7">
    <mergeCell ref="J90:K90"/>
    <mergeCell ref="J94:K94"/>
    <mergeCell ref="C2:D3"/>
    <mergeCell ref="O16:P16"/>
    <mergeCell ref="J78:K78"/>
    <mergeCell ref="J81:K81"/>
    <mergeCell ref="J84:K84"/>
  </mergeCells>
  <dataValidations count="1">
    <dataValidation type="list" allowBlank="1" showInputMessage="1" showErrorMessage="1" sqref="O16" xr:uid="{5FE601A0-9781-4D12-91B5-4F14BBE203CB}">
      <formula1>$R$10:$R$19</formula1>
    </dataValidation>
  </dataValidations>
  <hyperlinks>
    <hyperlink ref="C5" r:id="rId1" xr:uid="{E2506F4C-0B54-4D03-9678-87FF17E0D1D3}"/>
  </hyperlinks>
  <pageMargins left="0.511811024" right="0.511811024" top="0.78740157499999996" bottom="0.78740157499999996" header="0.31496062000000002" footer="0.31496062000000002"/>
  <pageSetup paperSize="9" orientation="portrait" r:id="rId2"/>
  <ignoredErrors>
    <ignoredError sqref="K64" formulaRange="1"/>
  </ignoredErrors>
  <drawing r:id="rId3"/>
  <tableParts count="4">
    <tablePart r:id="rId4"/>
    <tablePart r:id="rId5"/>
    <tablePart r:id="rId6"/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7FA0ED5-2F3B-4203-88E7-FDC5AA9397D8}">
          <x14:formula1>
            <xm:f>BASE_M²!$A:$A</xm:f>
          </x14:formula1>
          <xm:sqref>C10:C36</xm:sqref>
        </x14:dataValidation>
        <x14:dataValidation type="list" allowBlank="1" showInputMessage="1" showErrorMessage="1" xr:uid="{F9786760-2CBD-4AEA-83DD-353C4F693558}">
          <x14:formula1>
            <xm:f>BASE_UN!$A:$A</xm:f>
          </x14:formula1>
          <xm:sqref>C44:C51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C6165-6670-47E6-808E-2032DBBEA2F2}">
  <dimension ref="C2:T112"/>
  <sheetViews>
    <sheetView showGridLines="0" zoomScaleNormal="100" workbookViewId="0">
      <selection activeCell="M99" sqref="M99"/>
    </sheetView>
  </sheetViews>
  <sheetFormatPr defaultRowHeight="14.4" x14ac:dyDescent="0.3"/>
  <cols>
    <col min="1" max="1" width="2.21875" style="42" customWidth="1"/>
    <col min="2" max="2" width="16.44140625" style="42" customWidth="1"/>
    <col min="3" max="3" width="3.5546875" style="42" customWidth="1"/>
    <col min="4" max="4" width="38.5546875" style="42" customWidth="1"/>
    <col min="5" max="5" width="11.21875" style="42" customWidth="1"/>
    <col min="6" max="10" width="8.5546875" style="42" bestFit="1" customWidth="1"/>
    <col min="11" max="11" width="9.109375" style="42" bestFit="1" customWidth="1"/>
    <col min="12" max="12" width="9.77734375" style="42" bestFit="1" customWidth="1"/>
    <col min="13" max="13" width="21.21875" style="1" customWidth="1"/>
    <col min="14" max="14" width="6.6640625" style="42" customWidth="1"/>
    <col min="15" max="15" width="16.6640625" style="42" customWidth="1"/>
    <col min="16" max="16" width="7.5546875" style="42" customWidth="1"/>
    <col min="17" max="17" width="13.5546875" style="42" customWidth="1"/>
    <col min="18" max="18" width="8.88671875" style="42"/>
    <col min="19" max="19" width="30" style="42" hidden="1" customWidth="1"/>
    <col min="20" max="20" width="8.6640625" style="1" hidden="1" customWidth="1"/>
    <col min="21" max="16384" width="8.88671875" style="42"/>
  </cols>
  <sheetData>
    <row r="2" spans="3:20" ht="14.4" customHeight="1" x14ac:dyDescent="0.3">
      <c r="D2" s="215" t="s">
        <v>204</v>
      </c>
      <c r="E2" s="215"/>
      <c r="F2" s="172"/>
      <c r="G2" s="172"/>
      <c r="H2" s="172"/>
    </row>
    <row r="3" spans="3:20" ht="14.4" customHeight="1" x14ac:dyDescent="0.3">
      <c r="D3" s="215"/>
      <c r="E3" s="215"/>
      <c r="F3" s="172"/>
      <c r="G3" s="172"/>
      <c r="H3" s="172"/>
    </row>
    <row r="4" spans="3:20" ht="18" x14ac:dyDescent="0.3">
      <c r="D4" s="173" t="s">
        <v>211</v>
      </c>
    </row>
    <row r="5" spans="3:20" x14ac:dyDescent="0.2">
      <c r="D5" s="174" t="s">
        <v>206</v>
      </c>
    </row>
    <row r="6" spans="3:20" x14ac:dyDescent="0.3">
      <c r="F6" s="165"/>
      <c r="G6" s="165"/>
      <c r="H6" s="165"/>
      <c r="I6" s="165"/>
      <c r="J6" s="165"/>
      <c r="K6" s="165"/>
    </row>
    <row r="7" spans="3:20" x14ac:dyDescent="0.3">
      <c r="D7" s="75" t="s">
        <v>208</v>
      </c>
    </row>
    <row r="8" spans="3:20" ht="15" thickBot="1" x14ac:dyDescent="0.35"/>
    <row r="9" spans="3:20" ht="15" thickBot="1" x14ac:dyDescent="0.35">
      <c r="D9" s="204" t="s">
        <v>68</v>
      </c>
      <c r="E9" s="27" t="s">
        <v>74</v>
      </c>
      <c r="F9" s="27" t="s">
        <v>62</v>
      </c>
      <c r="G9" s="27" t="s">
        <v>63</v>
      </c>
      <c r="H9" s="27" t="s">
        <v>65</v>
      </c>
      <c r="I9" s="27" t="s">
        <v>64</v>
      </c>
      <c r="J9" s="27" t="s">
        <v>66</v>
      </c>
      <c r="K9" s="27" t="s">
        <v>67</v>
      </c>
      <c r="L9" s="27" t="s">
        <v>69</v>
      </c>
      <c r="M9" s="205" t="s">
        <v>70</v>
      </c>
      <c r="O9" s="164" t="s">
        <v>175</v>
      </c>
      <c r="P9" s="163">
        <v>9.6</v>
      </c>
      <c r="S9" s="175" t="s">
        <v>207</v>
      </c>
      <c r="T9" s="179" t="s">
        <v>104</v>
      </c>
    </row>
    <row r="10" spans="3:20" x14ac:dyDescent="0.3">
      <c r="C10" s="218" t="s">
        <v>209</v>
      </c>
      <c r="D10" s="189" t="s">
        <v>7</v>
      </c>
      <c r="E10" s="193">
        <f>P10*P11</f>
        <v>33.28</v>
      </c>
      <c r="F10" s="181">
        <f>IFERROR(INDEX(BASE_SUPERFÍCIES[125 Hz],MATCH($D10,BASE_SUPERFÍCIES[Materiais],0)), "-")</f>
        <v>0.02</v>
      </c>
      <c r="G10" s="182">
        <f>IFERROR(INDEX(BASE_SUPERFÍCIES[250 Hz],MATCH($D10,BASE_SUPERFÍCIES[Materiais],0)), "-")</f>
        <v>0.02</v>
      </c>
      <c r="H10" s="182">
        <f>IFERROR(INDEX(BASE_SUPERFÍCIES[500 Hz],MATCH($D10,BASE_SUPERFÍCIES[Materiais],0)), "-")</f>
        <v>0.02</v>
      </c>
      <c r="I10" s="182">
        <f>IFERROR(INDEX(BASE_SUPERFÍCIES[1000 Hz],MATCH($D10,BASE_SUPERFÍCIES[Materiais],0)), "-")</f>
        <v>0.02</v>
      </c>
      <c r="J10" s="182">
        <f>IFERROR(INDEX(BASE_SUPERFÍCIES[2000 Hz],MATCH($D10,BASE_SUPERFÍCIES[Materiais],0)), "-")</f>
        <v>0.03</v>
      </c>
      <c r="K10" s="182">
        <f>IFERROR(INDEX(BASE_SUPERFÍCIES[4000 Hz],MATCH($D10,BASE_SUPERFÍCIES[Materiais],0)), "-")</f>
        <v>0.06</v>
      </c>
      <c r="L10" s="199">
        <f>IFERROR(AVERAGE(G10:J10),"-")</f>
        <v>2.2499999999999999E-2</v>
      </c>
      <c r="M10" s="183" t="str">
        <f>IFERROR(INDEX(BASE_SUPERFÍCIES[Fonte],MATCH($D10,BASE_SUPERFÍCIES[Materiais],0)),"-")</f>
        <v>USP - AUT0280; 2018</v>
      </c>
      <c r="O10" s="164" t="s">
        <v>176</v>
      </c>
      <c r="P10" s="163">
        <v>6.4</v>
      </c>
      <c r="S10" s="176" t="s">
        <v>88</v>
      </c>
      <c r="T10" s="177">
        <f>INDEX(TR_ÓTIMO_CRESC[TR1],MATCH($P$14+0.1,TR_ÓTIMO_CRESC[V],1))+($P$14+0.1-INDEX(TR_ÓTIMO_CRESC[V],MATCH($P$14+0.1,TR_ÓTIMO_CRESC[V],1)))*((INDEX(TR_ÓTIMO_DECRESC[TR1],MATCH($P$14+0.1,TR_ÓTIMO_DECRESC[V],-1))-INDEX(TR_ÓTIMO_CRESC[TR1],MATCH($P$14+0.1,TR_ÓTIMO_CRESC[V],1)))/(INDEX(TR_ÓTIMO_DECRESC[V],MATCH($P$14+0.1,TR_ÓTIMO_DECRESC[V],-1))-INDEX(TR_ÓTIMO_CRESC[V],MATCH($P$14+0.1,TR_ÓTIMO_CRESC[V],1))))</f>
        <v>0.59587639999999997</v>
      </c>
    </row>
    <row r="11" spans="3:20" x14ac:dyDescent="0.3">
      <c r="C11" s="218"/>
      <c r="D11" s="187"/>
      <c r="E11" s="191"/>
      <c r="F11" s="190" t="str">
        <f>IFERROR(INDEX(BASE_SUPERFÍCIES[125 Hz],MATCH($D11,BASE_SUPERFÍCIES[Materiais],0)), "-")</f>
        <v>-</v>
      </c>
      <c r="G11" s="192" t="str">
        <f>IFERROR(INDEX(BASE_SUPERFÍCIES[250 Hz],MATCH($D11,BASE_SUPERFÍCIES[Materiais],0)), "-")</f>
        <v>-</v>
      </c>
      <c r="H11" s="192" t="str">
        <f>IFERROR(INDEX(BASE_SUPERFÍCIES[500 Hz],MATCH($D11,BASE_SUPERFÍCIES[Materiais],0)), "-")</f>
        <v>-</v>
      </c>
      <c r="I11" s="192" t="str">
        <f>IFERROR(INDEX(BASE_SUPERFÍCIES[1000 Hz],MATCH($D11,BASE_SUPERFÍCIES[Materiais],0)), "-")</f>
        <v>-</v>
      </c>
      <c r="J11" s="192" t="str">
        <f>IFERROR(INDEX(BASE_SUPERFÍCIES[2000 Hz],MATCH($D11,BASE_SUPERFÍCIES[Materiais],0)), "-")</f>
        <v>-</v>
      </c>
      <c r="K11" s="192" t="str">
        <f>IFERROR(INDEX(BASE_SUPERFÍCIES[4000 Hz],MATCH($D11,BASE_SUPERFÍCIES[Materiais],0)), "-")</f>
        <v>-</v>
      </c>
      <c r="L11" s="8" t="str">
        <f>IFERROR(AVERAGE(G11:J11),"-")</f>
        <v>-</v>
      </c>
      <c r="M11" s="196" t="str">
        <f>IFERROR(INDEX(BASE_SUPERFÍCIES[Fonte],MATCH($D11,BASE_SUPERFÍCIES[Materiais],0)),"-")</f>
        <v>-</v>
      </c>
      <c r="O11" s="164" t="s">
        <v>174</v>
      </c>
      <c r="P11" s="163">
        <v>5.2</v>
      </c>
      <c r="S11" s="176" t="s">
        <v>89</v>
      </c>
      <c r="T11" s="177">
        <f>INDEX(TR_ÓTIMO_CRESC[TR2],MATCH($P$14+0.1,TR_ÓTIMO_CRESC[V],1))+($P$14+0.1-INDEX(TR_ÓTIMO_CRESC[V],MATCH($P$14+0.1,TR_ÓTIMO_CRESC[V],1)))*((INDEX(TR_ÓTIMO_DECRESC[TR2],MATCH($P$14+0.1,TR_ÓTIMO_DECRESC[V],-1))-INDEX(TR_ÓTIMO_CRESC[TR2],MATCH($P$14+0.1,TR_ÓTIMO_CRESC[V],1)))/(INDEX(TR_ÓTIMO_DECRESC[V],MATCH($P$14+0.1,TR_ÓTIMO_DECRESC[V],-1))-INDEX(TR_ÓTIMO_CRESC[V],MATCH($P$14+0.1,TR_ÓTIMO_CRESC[V],1))))</f>
        <v>0.70522346666666669</v>
      </c>
    </row>
    <row r="12" spans="3:20" x14ac:dyDescent="0.3">
      <c r="C12" s="218"/>
      <c r="D12" s="186"/>
      <c r="E12" s="194"/>
      <c r="F12" s="184" t="str">
        <f>IFERROR(INDEX(BASE_SUPERFÍCIES[125 Hz],MATCH($D12,BASE_SUPERFÍCIES[Materiais],0)), "-")</f>
        <v>-</v>
      </c>
      <c r="G12" s="185" t="str">
        <f>IFERROR(INDEX(BASE_SUPERFÍCIES[250 Hz],MATCH($D12,BASE_SUPERFÍCIES[Materiais],0)), "-")</f>
        <v>-</v>
      </c>
      <c r="H12" s="185" t="str">
        <f>IFERROR(INDEX(BASE_SUPERFÍCIES[500 Hz],MATCH($D12,BASE_SUPERFÍCIES[Materiais],0)), "-")</f>
        <v>-</v>
      </c>
      <c r="I12" s="185" t="str">
        <f>IFERROR(INDEX(BASE_SUPERFÍCIES[1000 Hz],MATCH($D12,BASE_SUPERFÍCIES[Materiais],0)), "-")</f>
        <v>-</v>
      </c>
      <c r="J12" s="185" t="str">
        <f>IFERROR(INDEX(BASE_SUPERFÍCIES[2000 Hz],MATCH($D12,BASE_SUPERFÍCIES[Materiais],0)), "-")</f>
        <v>-</v>
      </c>
      <c r="K12" s="185" t="str">
        <f>IFERROR(INDEX(BASE_SUPERFÍCIES[4000 Hz],MATCH($D12,BASE_SUPERFÍCIES[Materiais],0)), "-")</f>
        <v>-</v>
      </c>
      <c r="L12" s="12" t="str">
        <f>IFERROR(AVERAGE(G12:J12),"-")</f>
        <v>-</v>
      </c>
      <c r="M12" s="197" t="str">
        <f>IFERROR(INDEX(BASE_SUPERFÍCIES[Fonte],MATCH($D12,BASE_SUPERFÍCIES[Materiais],0)),"-")</f>
        <v>-</v>
      </c>
      <c r="S12" s="176" t="s">
        <v>90</v>
      </c>
      <c r="T12" s="177">
        <f>INDEX(TR_ÓTIMO_CRESC[TR2],MATCH($P$14+0.1,TR_ÓTIMO_CRESC[V],1))+($P$14+0.1-INDEX(TR_ÓTIMO_CRESC[V],MATCH($P$14+0.1,TR_ÓTIMO_CRESC[V],1)))*((INDEX(TR_ÓTIMO_DECRESC[TR2],MATCH($P$14+0.1,TR_ÓTIMO_DECRESC[V],-1))-INDEX(TR_ÓTIMO_CRESC[TR2],MATCH($P$14+0.1,TR_ÓTIMO_CRESC[V],1)))/(INDEX(TR_ÓTIMO_DECRESC[V],MATCH($P$14+0.1,TR_ÓTIMO_DECRESC[V],-1))-INDEX(TR_ÓTIMO_CRESC[V],MATCH($P$14+0.1,TR_ÓTIMO_CRESC[V],1))))</f>
        <v>0.70522346666666669</v>
      </c>
    </row>
    <row r="13" spans="3:20" ht="15" thickBot="1" x14ac:dyDescent="0.35">
      <c r="C13" s="218"/>
      <c r="D13" s="188"/>
      <c r="E13" s="195"/>
      <c r="F13" s="201" t="str">
        <f>IFERROR(INDEX(BASE_SUPERFÍCIES[125 Hz],MATCH($D13,BASE_SUPERFÍCIES[Materiais],0)), "-")</f>
        <v>-</v>
      </c>
      <c r="G13" s="202" t="str">
        <f>IFERROR(INDEX(BASE_SUPERFÍCIES[250 Hz],MATCH($D13,BASE_SUPERFÍCIES[Materiais],0)), "-")</f>
        <v>-</v>
      </c>
      <c r="H13" s="202" t="str">
        <f>IFERROR(INDEX(BASE_SUPERFÍCIES[500 Hz],MATCH($D13,BASE_SUPERFÍCIES[Materiais],0)), "-")</f>
        <v>-</v>
      </c>
      <c r="I13" s="202" t="str">
        <f>IFERROR(INDEX(BASE_SUPERFÍCIES[1000 Hz],MATCH($D13,BASE_SUPERFÍCIES[Materiais],0)), "-")</f>
        <v>-</v>
      </c>
      <c r="J13" s="202" t="str">
        <f>IFERROR(INDEX(BASE_SUPERFÍCIES[2000 Hz],MATCH($D13,BASE_SUPERFÍCIES[Materiais],0)), "-")</f>
        <v>-</v>
      </c>
      <c r="K13" s="202" t="str">
        <f>IFERROR(INDEX(BASE_SUPERFÍCIES[4000 Hz],MATCH($D13,BASE_SUPERFÍCIES[Materiais],0)), "-")</f>
        <v>-</v>
      </c>
      <c r="L13" s="200" t="str">
        <f>IFERROR(AVERAGE(G13:J13),"-")</f>
        <v>-</v>
      </c>
      <c r="M13" s="198" t="str">
        <f>IFERROR(INDEX(BASE_SUPERFÍCIES[Fonte],MATCH($D13,BASE_SUPERFÍCIES[Materiais],0)),"-")</f>
        <v>-</v>
      </c>
      <c r="O13" s="167" t="s">
        <v>187</v>
      </c>
      <c r="P13" s="170">
        <f>2*((P9*P10)+(P9*P11)+(P10*P11))</f>
        <v>289.27999999999997</v>
      </c>
      <c r="S13" s="176" t="s">
        <v>91</v>
      </c>
      <c r="T13" s="177">
        <f>INDEX(TR_ÓTIMO_CRESC[TR3],MATCH($P$14+0.1,TR_ÓTIMO_CRESC[V],1))+($P$14+0.1-INDEX(TR_ÓTIMO_CRESC[V],MATCH($P$14+0.1,TR_ÓTIMO_CRESC[V],1)))*((INDEX(TR_ÓTIMO_DECRESC[TR3],MATCH($P$14+0.1,TR_ÓTIMO_DECRESC[V],-1))-INDEX(TR_ÓTIMO_CRESC[TR3],MATCH($P$14+0.1,TR_ÓTIMO_CRESC[V],1)))/(INDEX(TR_ÓTIMO_DECRESC[V],MATCH($P$14+0.1,TR_ÓTIMO_DECRESC[V],-1))-INDEX(TR_ÓTIMO_CRESC[V],MATCH($P$14+0.1,TR_ÓTIMO_CRESC[V],1))))</f>
        <v>0.86914106666666668</v>
      </c>
    </row>
    <row r="14" spans="3:20" ht="15" thickBot="1" x14ac:dyDescent="0.35">
      <c r="F14" s="203"/>
      <c r="G14" s="203"/>
      <c r="H14" s="203"/>
      <c r="I14" s="203"/>
      <c r="J14" s="203"/>
      <c r="K14" s="203"/>
      <c r="M14" s="42"/>
      <c r="O14" s="167" t="s">
        <v>85</v>
      </c>
      <c r="P14" s="170">
        <f>P9*P10*P11</f>
        <v>319.488</v>
      </c>
      <c r="S14" s="176" t="s">
        <v>92</v>
      </c>
      <c r="T14" s="177">
        <f>INDEX(TR_ÓTIMO_CRESC[TR3],MATCH($P$14+0.1,TR_ÓTIMO_CRESC[V],1))+($P$14+0.1-INDEX(TR_ÓTIMO_CRESC[V],MATCH($P$14+0.1,TR_ÓTIMO_CRESC[V],1)))*((INDEX(TR_ÓTIMO_DECRESC[TR3],MATCH($P$14+0.1,TR_ÓTIMO_DECRESC[V],-1))-INDEX(TR_ÓTIMO_CRESC[TR3],MATCH($P$14+0.1,TR_ÓTIMO_CRESC[V],1)))/(INDEX(TR_ÓTIMO_DECRESC[V],MATCH($P$14+0.1,TR_ÓTIMO_DECRESC[V],-1))-INDEX(TR_ÓTIMO_CRESC[V],MATCH($P$14+0.1,TR_ÓTIMO_CRESC[V],1))))</f>
        <v>0.86914106666666668</v>
      </c>
    </row>
    <row r="15" spans="3:20" x14ac:dyDescent="0.3">
      <c r="C15" s="218" t="s">
        <v>210</v>
      </c>
      <c r="D15" s="189" t="s">
        <v>7</v>
      </c>
      <c r="E15" s="193">
        <f>P10*P11</f>
        <v>33.28</v>
      </c>
      <c r="F15" s="181">
        <f>IFERROR(INDEX(BASE_SUPERFÍCIES[125 Hz],MATCH($D15,BASE_SUPERFÍCIES[Materiais],0)), "-")</f>
        <v>0.02</v>
      </c>
      <c r="G15" s="182">
        <f>IFERROR(INDEX(BASE_SUPERFÍCIES[250 Hz],MATCH($D15,BASE_SUPERFÍCIES[Materiais],0)), "-")</f>
        <v>0.02</v>
      </c>
      <c r="H15" s="182">
        <f>IFERROR(INDEX(BASE_SUPERFÍCIES[500 Hz],MATCH($D15,BASE_SUPERFÍCIES[Materiais],0)), "-")</f>
        <v>0.02</v>
      </c>
      <c r="I15" s="182">
        <f>IFERROR(INDEX(BASE_SUPERFÍCIES[1000 Hz],MATCH($D15,BASE_SUPERFÍCIES[Materiais],0)), "-")</f>
        <v>0.02</v>
      </c>
      <c r="J15" s="182">
        <f>IFERROR(INDEX(BASE_SUPERFÍCIES[2000 Hz],MATCH($D15,BASE_SUPERFÍCIES[Materiais],0)), "-")</f>
        <v>0.03</v>
      </c>
      <c r="K15" s="182">
        <f>IFERROR(INDEX(BASE_SUPERFÍCIES[4000 Hz],MATCH($D15,BASE_SUPERFÍCIES[Materiais],0)), "-")</f>
        <v>0.06</v>
      </c>
      <c r="L15" s="199">
        <f>IFERROR(AVERAGE(G15:J15),"-")</f>
        <v>2.2499999999999999E-2</v>
      </c>
      <c r="M15" s="183" t="str">
        <f>IFERROR(INDEX(BASE_SUPERFÍCIES[Fonte],MATCH($D15,BASE_SUPERFÍCIES[Materiais],0)),"-")</f>
        <v>USP - AUT0280; 2018</v>
      </c>
      <c r="S15" s="176" t="s">
        <v>93</v>
      </c>
      <c r="T15" s="177">
        <f>INDEX(TR_ÓTIMO_CRESC[TR4],MATCH($P$14+0.1,TR_ÓTIMO_CRESC[V],1))+($P$14+0.1-INDEX(TR_ÓTIMO_CRESC[V],MATCH($P$14+0.1,TR_ÓTIMO_CRESC[V],1)))*((INDEX(TR_ÓTIMO_DECRESC[TR4],MATCH($P$14+0.1,TR_ÓTIMO_DECRESC[V],-1))-INDEX(TR_ÓTIMO_CRESC[TR4],MATCH($P$14+0.1,TR_ÓTIMO_CRESC[V],1)))/(INDEX(TR_ÓTIMO_DECRESC[V],MATCH($P$14+0.1,TR_ÓTIMO_DECRESC[V],-1))-INDEX(TR_ÓTIMO_CRESC[V],MATCH($P$14+0.1,TR_ÓTIMO_CRESC[V],1))))</f>
        <v>0.9504469333333333</v>
      </c>
    </row>
    <row r="16" spans="3:20" ht="14.4" customHeight="1" x14ac:dyDescent="0.3">
      <c r="C16" s="218"/>
      <c r="D16" s="187"/>
      <c r="E16" s="191"/>
      <c r="F16" s="190" t="str">
        <f>IFERROR(INDEX(BASE_SUPERFÍCIES[125 Hz],MATCH($D16,BASE_SUPERFÍCIES[Materiais],0)), "-")</f>
        <v>-</v>
      </c>
      <c r="G16" s="192" t="str">
        <f>IFERROR(INDEX(BASE_SUPERFÍCIES[250 Hz],MATCH($D16,BASE_SUPERFÍCIES[Materiais],0)), "-")</f>
        <v>-</v>
      </c>
      <c r="H16" s="192" t="str">
        <f>IFERROR(INDEX(BASE_SUPERFÍCIES[500 Hz],MATCH($D16,BASE_SUPERFÍCIES[Materiais],0)), "-")</f>
        <v>-</v>
      </c>
      <c r="I16" s="192" t="str">
        <f>IFERROR(INDEX(BASE_SUPERFÍCIES[1000 Hz],MATCH($D16,BASE_SUPERFÍCIES[Materiais],0)), "-")</f>
        <v>-</v>
      </c>
      <c r="J16" s="192" t="str">
        <f>IFERROR(INDEX(BASE_SUPERFÍCIES[2000 Hz],MATCH($D16,BASE_SUPERFÍCIES[Materiais],0)), "-")</f>
        <v>-</v>
      </c>
      <c r="K16" s="192" t="str">
        <f>IFERROR(INDEX(BASE_SUPERFÍCIES[4000 Hz],MATCH($D16,BASE_SUPERFÍCIES[Materiais],0)), "-")</f>
        <v>-</v>
      </c>
      <c r="L16" s="8" t="str">
        <f>IFERROR(AVERAGE(G16:J16),"-")</f>
        <v>-</v>
      </c>
      <c r="M16" s="196" t="str">
        <f>IFERROR(INDEX(BASE_SUPERFÍCIES[Fonte],MATCH($D16,BASE_SUPERFÍCIES[Materiais],0)),"-")</f>
        <v>-</v>
      </c>
      <c r="O16" s="168" t="s">
        <v>87</v>
      </c>
      <c r="P16" s="216" t="s">
        <v>90</v>
      </c>
      <c r="Q16" s="217"/>
      <c r="S16" s="176" t="s">
        <v>94</v>
      </c>
      <c r="T16" s="177">
        <f>INDEX(TR_ÓTIMO_CRESC[TR4],MATCH($P$14+0.1,TR_ÓTIMO_CRESC[V],1))+($P$14+0.1-INDEX(TR_ÓTIMO_CRESC[V],MATCH($P$14+0.1,TR_ÓTIMO_CRESC[V],1)))*((INDEX(TR_ÓTIMO_DECRESC[TR4],MATCH($P$14+0.1,TR_ÓTIMO_DECRESC[V],-1))-INDEX(TR_ÓTIMO_CRESC[TR4],MATCH($P$14+0.1,TR_ÓTIMO_CRESC[V],1)))/(INDEX(TR_ÓTIMO_DECRESC[V],MATCH($P$14+0.1,TR_ÓTIMO_DECRESC[V],-1))-INDEX(TR_ÓTIMO_CRESC[V],MATCH($P$14+0.1,TR_ÓTIMO_CRESC[V],1))))</f>
        <v>0.9504469333333333</v>
      </c>
    </row>
    <row r="17" spans="3:20" x14ac:dyDescent="0.3">
      <c r="C17" s="218"/>
      <c r="D17" s="186"/>
      <c r="E17" s="194"/>
      <c r="F17" s="184" t="str">
        <f>IFERROR(INDEX(BASE_SUPERFÍCIES[125 Hz],MATCH($D17,BASE_SUPERFÍCIES[Materiais],0)), "-")</f>
        <v>-</v>
      </c>
      <c r="G17" s="185" t="str">
        <f>IFERROR(INDEX(BASE_SUPERFÍCIES[250 Hz],MATCH($D17,BASE_SUPERFÍCIES[Materiais],0)), "-")</f>
        <v>-</v>
      </c>
      <c r="H17" s="185" t="str">
        <f>IFERROR(INDEX(BASE_SUPERFÍCIES[500 Hz],MATCH($D17,BASE_SUPERFÍCIES[Materiais],0)), "-")</f>
        <v>-</v>
      </c>
      <c r="I17" s="185" t="str">
        <f>IFERROR(INDEX(BASE_SUPERFÍCIES[1000 Hz],MATCH($D17,BASE_SUPERFÍCIES[Materiais],0)), "-")</f>
        <v>-</v>
      </c>
      <c r="J17" s="185" t="str">
        <f>IFERROR(INDEX(BASE_SUPERFÍCIES[2000 Hz],MATCH($D17,BASE_SUPERFÍCIES[Materiais],0)), "-")</f>
        <v>-</v>
      </c>
      <c r="K17" s="185" t="str">
        <f>IFERROR(INDEX(BASE_SUPERFÍCIES[4000 Hz],MATCH($D17,BASE_SUPERFÍCIES[Materiais],0)), "-")</f>
        <v>-</v>
      </c>
      <c r="L17" s="12" t="str">
        <f>IFERROR(AVERAGE(G17:J17),"-")</f>
        <v>-</v>
      </c>
      <c r="M17" s="197" t="str">
        <f>IFERROR(INDEX(BASE_SUPERFÍCIES[Fonte],MATCH($D17,BASE_SUPERFÍCIES[Materiais],0)),"-")</f>
        <v>-</v>
      </c>
      <c r="S17" s="176" t="s">
        <v>95</v>
      </c>
      <c r="T17" s="177">
        <f>INDEX(TR_ÓTIMO_CRESC[TR4],MATCH($P$14+0.1,TR_ÓTIMO_CRESC[V],1))+($P$14+0.1-INDEX(TR_ÓTIMO_CRESC[V],MATCH($P$14+0.1,TR_ÓTIMO_CRESC[V],1)))*((INDEX(TR_ÓTIMO_DECRESC[TR4],MATCH($P$14+0.1,TR_ÓTIMO_DECRESC[V],-1))-INDEX(TR_ÓTIMO_CRESC[TR4],MATCH($P$14+0.1,TR_ÓTIMO_CRESC[V],1)))/(INDEX(TR_ÓTIMO_DECRESC[V],MATCH($P$14+0.1,TR_ÓTIMO_DECRESC[V],-1))-INDEX(TR_ÓTIMO_CRESC[V],MATCH($P$14+0.1,TR_ÓTIMO_CRESC[V],1))))</f>
        <v>0.9504469333333333</v>
      </c>
    </row>
    <row r="18" spans="3:20" ht="15" thickBot="1" x14ac:dyDescent="0.35">
      <c r="C18" s="218"/>
      <c r="D18" s="188"/>
      <c r="E18" s="195"/>
      <c r="F18" s="201" t="str">
        <f>IFERROR(INDEX(BASE_SUPERFÍCIES[125 Hz],MATCH($D18,BASE_SUPERFÍCIES[Materiais],0)), "-")</f>
        <v>-</v>
      </c>
      <c r="G18" s="202" t="str">
        <f>IFERROR(INDEX(BASE_SUPERFÍCIES[250 Hz],MATCH($D18,BASE_SUPERFÍCIES[Materiais],0)), "-")</f>
        <v>-</v>
      </c>
      <c r="H18" s="202" t="str">
        <f>IFERROR(INDEX(BASE_SUPERFÍCIES[500 Hz],MATCH($D18,BASE_SUPERFÍCIES[Materiais],0)), "-")</f>
        <v>-</v>
      </c>
      <c r="I18" s="202" t="str">
        <f>IFERROR(INDEX(BASE_SUPERFÍCIES[1000 Hz],MATCH($D18,BASE_SUPERFÍCIES[Materiais],0)), "-")</f>
        <v>-</v>
      </c>
      <c r="J18" s="202" t="str">
        <f>IFERROR(INDEX(BASE_SUPERFÍCIES[2000 Hz],MATCH($D18,BASE_SUPERFÍCIES[Materiais],0)), "-")</f>
        <v>-</v>
      </c>
      <c r="K18" s="202" t="str">
        <f>IFERROR(INDEX(BASE_SUPERFÍCIES[4000 Hz],MATCH($D18,BASE_SUPERFÍCIES[Materiais],0)), "-")</f>
        <v>-</v>
      </c>
      <c r="L18" s="200" t="str">
        <f>IFERROR(AVERAGE(G18:J18),"-")</f>
        <v>-</v>
      </c>
      <c r="M18" s="198" t="str">
        <f>IFERROR(INDEX(BASE_SUPERFÍCIES[Fonte],MATCH($D18,BASE_SUPERFÍCIES[Materiais],0)),"-")</f>
        <v>-</v>
      </c>
      <c r="O18" s="169" t="s">
        <v>177</v>
      </c>
      <c r="P18" s="171">
        <f>INDEX(Tabela7[TRo],MATCH($P$16,Tabela7[USOS '[NBR 12.179']],0))</f>
        <v>0.70522346666666669</v>
      </c>
      <c r="S18" s="176" t="s">
        <v>96</v>
      </c>
      <c r="T18" s="177">
        <f>INDEX(TR_ÓTIMO_CRESC[TR5],MATCH($P$14+0.1,TR_ÓTIMO_CRESC[V],1))+($P$14+0.1-INDEX(TR_ÓTIMO_CRESC[V],MATCH($P$14+0.1,TR_ÓTIMO_CRESC[V],1)))*((INDEX(TR_ÓTIMO_DECRESC[TR5],MATCH($P$14+0.1,TR_ÓTIMO_DECRESC[V],-1))-INDEX(TR_ÓTIMO_CRESC[TR5],MATCH($P$14+0.1,TR_ÓTIMO_CRESC[V],1)))/(INDEX(TR_ÓTIMO_DECRESC[V],MATCH($P$14+0.1,TR_ÓTIMO_DECRESC[V],-1))-INDEX(TR_ÓTIMO_CRESC[V],MATCH($P$14+0.1,TR_ÓTIMO_CRESC[V],1))))</f>
        <v>1.3878351999999998</v>
      </c>
    </row>
    <row r="19" spans="3:20" x14ac:dyDescent="0.3">
      <c r="M19" s="42"/>
      <c r="O19" s="169" t="s">
        <v>178</v>
      </c>
      <c r="P19" s="171">
        <f>L81</f>
        <v>6.7709519797809605</v>
      </c>
      <c r="S19" s="178" t="s">
        <v>97</v>
      </c>
      <c r="T19" s="45">
        <f>INDEX(TR_ÓTIMO_CRESC[TR5],MATCH($P$14+0.1,TR_ÓTIMO_CRESC[V],1))+($P$14+0.1-INDEX(TR_ÓTIMO_CRESC[V],MATCH($P$14+0.1,TR_ÓTIMO_CRESC[V],1)))*((INDEX(TR_ÓTIMO_DECRESC[TR5],MATCH($P$14+0.1,TR_ÓTIMO_DECRESC[V],-1))-INDEX(TR_ÓTIMO_CRESC[TR5],MATCH($P$14+0.1,TR_ÓTIMO_CRESC[V],1)))/(INDEX(TR_ÓTIMO_DECRESC[V],MATCH($P$14+0.1,TR_ÓTIMO_DECRESC[V],-1))-INDEX(TR_ÓTIMO_CRESC[V],MATCH($P$14+0.1,TR_ÓTIMO_CRESC[V],1))))</f>
        <v>1.3878351999999998</v>
      </c>
    </row>
    <row r="20" spans="3:20" x14ac:dyDescent="0.3">
      <c r="D20" s="206" t="s">
        <v>77</v>
      </c>
      <c r="E20" s="207" t="s">
        <v>36</v>
      </c>
      <c r="F20" s="208">
        <f>SUMPRODUCT($E10:$E18,F10:F18)</f>
        <v>1.3312000000000002</v>
      </c>
      <c r="G20" s="208">
        <f t="shared" ref="G20:K20" si="0">SUMPRODUCT($E10:$E18,G10:G18)</f>
        <v>1.3312000000000002</v>
      </c>
      <c r="H20" s="208">
        <f t="shared" si="0"/>
        <v>1.3312000000000002</v>
      </c>
      <c r="I20" s="208">
        <f t="shared" si="0"/>
        <v>1.3312000000000002</v>
      </c>
      <c r="J20" s="208">
        <f t="shared" si="0"/>
        <v>1.9967999999999999</v>
      </c>
      <c r="K20" s="208">
        <f t="shared" si="0"/>
        <v>3.9935999999999998</v>
      </c>
      <c r="L20" s="208">
        <f>SUMPRODUCT($E10:$E18,L10:L18)</f>
        <v>1.4976</v>
      </c>
      <c r="M20" s="207"/>
    </row>
    <row r="21" spans="3:20" x14ac:dyDescent="0.3">
      <c r="D21" s="206" t="s">
        <v>214</v>
      </c>
      <c r="E21" s="207">
        <f>SUM(E10:E18)</f>
        <v>66.56</v>
      </c>
      <c r="M21" s="42"/>
    </row>
    <row r="22" spans="3:20" x14ac:dyDescent="0.3">
      <c r="M22" s="42"/>
    </row>
    <row r="23" spans="3:20" ht="14.4" customHeight="1" x14ac:dyDescent="0.3">
      <c r="D23" s="75" t="s">
        <v>212</v>
      </c>
    </row>
    <row r="24" spans="3:20" ht="15" thickBot="1" x14ac:dyDescent="0.35"/>
    <row r="25" spans="3:20" ht="15" thickBot="1" x14ac:dyDescent="0.35">
      <c r="D25" s="204" t="s">
        <v>68</v>
      </c>
      <c r="E25" s="27" t="s">
        <v>74</v>
      </c>
      <c r="F25" s="27" t="s">
        <v>62</v>
      </c>
      <c r="G25" s="27" t="s">
        <v>63</v>
      </c>
      <c r="H25" s="27" t="s">
        <v>65</v>
      </c>
      <c r="I25" s="27" t="s">
        <v>64</v>
      </c>
      <c r="J25" s="27" t="s">
        <v>66</v>
      </c>
      <c r="K25" s="27" t="s">
        <v>67</v>
      </c>
      <c r="L25" s="27" t="s">
        <v>69</v>
      </c>
      <c r="M25" s="205" t="s">
        <v>70</v>
      </c>
    </row>
    <row r="26" spans="3:20" ht="14.4" customHeight="1" x14ac:dyDescent="0.3">
      <c r="C26" s="218" t="s">
        <v>209</v>
      </c>
      <c r="D26" s="189" t="s">
        <v>7</v>
      </c>
      <c r="E26" s="193">
        <f>P9*P11</f>
        <v>49.92</v>
      </c>
      <c r="F26" s="181">
        <f>IFERROR(INDEX(BASE_SUPERFÍCIES[125 Hz],MATCH($D26,BASE_SUPERFÍCIES[Materiais],0)), "-")</f>
        <v>0.02</v>
      </c>
      <c r="G26" s="182">
        <f>IFERROR(INDEX(BASE_SUPERFÍCIES[250 Hz],MATCH($D26,BASE_SUPERFÍCIES[Materiais],0)), "-")</f>
        <v>0.02</v>
      </c>
      <c r="H26" s="182">
        <f>IFERROR(INDEX(BASE_SUPERFÍCIES[500 Hz],MATCH($D26,BASE_SUPERFÍCIES[Materiais],0)), "-")</f>
        <v>0.02</v>
      </c>
      <c r="I26" s="182">
        <f>IFERROR(INDEX(BASE_SUPERFÍCIES[1000 Hz],MATCH($D26,BASE_SUPERFÍCIES[Materiais],0)), "-")</f>
        <v>0.02</v>
      </c>
      <c r="J26" s="182">
        <f>IFERROR(INDEX(BASE_SUPERFÍCIES[2000 Hz],MATCH($D26,BASE_SUPERFÍCIES[Materiais],0)), "-")</f>
        <v>0.03</v>
      </c>
      <c r="K26" s="182">
        <f>IFERROR(INDEX(BASE_SUPERFÍCIES[4000 Hz],MATCH($D26,BASE_SUPERFÍCIES[Materiais],0)), "-")</f>
        <v>0.06</v>
      </c>
      <c r="L26" s="199">
        <f>IFERROR(AVERAGE(G26:J26),"-")</f>
        <v>2.2499999999999999E-2</v>
      </c>
      <c r="M26" s="183" t="str">
        <f>IFERROR(INDEX(BASE_SUPERFÍCIES[Fonte],MATCH($D26,BASE_SUPERFÍCIES[Materiais],0)),"-")</f>
        <v>USP - AUT0280; 2018</v>
      </c>
    </row>
    <row r="27" spans="3:20" x14ac:dyDescent="0.3">
      <c r="C27" s="218"/>
      <c r="D27" s="187"/>
      <c r="E27" s="191"/>
      <c r="F27" s="190" t="str">
        <f>IFERROR(INDEX(BASE_SUPERFÍCIES[125 Hz],MATCH($D27,BASE_SUPERFÍCIES[Materiais],0)), "-")</f>
        <v>-</v>
      </c>
      <c r="G27" s="192" t="str">
        <f>IFERROR(INDEX(BASE_SUPERFÍCIES[250 Hz],MATCH($D27,BASE_SUPERFÍCIES[Materiais],0)), "-")</f>
        <v>-</v>
      </c>
      <c r="H27" s="192" t="str">
        <f>IFERROR(INDEX(BASE_SUPERFÍCIES[500 Hz],MATCH($D27,BASE_SUPERFÍCIES[Materiais],0)), "-")</f>
        <v>-</v>
      </c>
      <c r="I27" s="192" t="str">
        <f>IFERROR(INDEX(BASE_SUPERFÍCIES[1000 Hz],MATCH($D27,BASE_SUPERFÍCIES[Materiais],0)), "-")</f>
        <v>-</v>
      </c>
      <c r="J27" s="192" t="str">
        <f>IFERROR(INDEX(BASE_SUPERFÍCIES[2000 Hz],MATCH($D27,BASE_SUPERFÍCIES[Materiais],0)), "-")</f>
        <v>-</v>
      </c>
      <c r="K27" s="192" t="str">
        <f>IFERROR(INDEX(BASE_SUPERFÍCIES[4000 Hz],MATCH($D27,BASE_SUPERFÍCIES[Materiais],0)), "-")</f>
        <v>-</v>
      </c>
      <c r="L27" s="8" t="str">
        <f>IFERROR(AVERAGE(G27:J27),"-")</f>
        <v>-</v>
      </c>
      <c r="M27" s="196" t="str">
        <f>IFERROR(INDEX(BASE_SUPERFÍCIES[Fonte],MATCH($D27,BASE_SUPERFÍCIES[Materiais],0)),"-")</f>
        <v>-</v>
      </c>
    </row>
    <row r="28" spans="3:20" ht="14.4" customHeight="1" x14ac:dyDescent="0.3">
      <c r="C28" s="218"/>
      <c r="D28" s="186"/>
      <c r="E28" s="194"/>
      <c r="F28" s="184" t="str">
        <f>IFERROR(INDEX(BASE_SUPERFÍCIES[125 Hz],MATCH($D28,BASE_SUPERFÍCIES[Materiais],0)), "-")</f>
        <v>-</v>
      </c>
      <c r="G28" s="185" t="str">
        <f>IFERROR(INDEX(BASE_SUPERFÍCIES[250 Hz],MATCH($D28,BASE_SUPERFÍCIES[Materiais],0)), "-")</f>
        <v>-</v>
      </c>
      <c r="H28" s="185" t="str">
        <f>IFERROR(INDEX(BASE_SUPERFÍCIES[500 Hz],MATCH($D28,BASE_SUPERFÍCIES[Materiais],0)), "-")</f>
        <v>-</v>
      </c>
      <c r="I28" s="185" t="str">
        <f>IFERROR(INDEX(BASE_SUPERFÍCIES[1000 Hz],MATCH($D28,BASE_SUPERFÍCIES[Materiais],0)), "-")</f>
        <v>-</v>
      </c>
      <c r="J28" s="185" t="str">
        <f>IFERROR(INDEX(BASE_SUPERFÍCIES[2000 Hz],MATCH($D28,BASE_SUPERFÍCIES[Materiais],0)), "-")</f>
        <v>-</v>
      </c>
      <c r="K28" s="185" t="str">
        <f>IFERROR(INDEX(BASE_SUPERFÍCIES[4000 Hz],MATCH($D28,BASE_SUPERFÍCIES[Materiais],0)), "-")</f>
        <v>-</v>
      </c>
      <c r="L28" s="12" t="str">
        <f>IFERROR(AVERAGE(G28:J28),"-")</f>
        <v>-</v>
      </c>
      <c r="M28" s="197" t="str">
        <f>IFERROR(INDEX(BASE_SUPERFÍCIES[Fonte],MATCH($D28,BASE_SUPERFÍCIES[Materiais],0)),"-")</f>
        <v>-</v>
      </c>
    </row>
    <row r="29" spans="3:20" ht="15" thickBot="1" x14ac:dyDescent="0.35">
      <c r="C29" s="218"/>
      <c r="D29" s="188"/>
      <c r="E29" s="195"/>
      <c r="F29" s="201" t="str">
        <f>IFERROR(INDEX(BASE_SUPERFÍCIES[125 Hz],MATCH($D29,BASE_SUPERFÍCIES[Materiais],0)), "-")</f>
        <v>-</v>
      </c>
      <c r="G29" s="202" t="str">
        <f>IFERROR(INDEX(BASE_SUPERFÍCIES[250 Hz],MATCH($D29,BASE_SUPERFÍCIES[Materiais],0)), "-")</f>
        <v>-</v>
      </c>
      <c r="H29" s="202" t="str">
        <f>IFERROR(INDEX(BASE_SUPERFÍCIES[500 Hz],MATCH($D29,BASE_SUPERFÍCIES[Materiais],0)), "-")</f>
        <v>-</v>
      </c>
      <c r="I29" s="202" t="str">
        <f>IFERROR(INDEX(BASE_SUPERFÍCIES[1000 Hz],MATCH($D29,BASE_SUPERFÍCIES[Materiais],0)), "-")</f>
        <v>-</v>
      </c>
      <c r="J29" s="202" t="str">
        <f>IFERROR(INDEX(BASE_SUPERFÍCIES[2000 Hz],MATCH($D29,BASE_SUPERFÍCIES[Materiais],0)), "-")</f>
        <v>-</v>
      </c>
      <c r="K29" s="202" t="str">
        <f>IFERROR(INDEX(BASE_SUPERFÍCIES[4000 Hz],MATCH($D29,BASE_SUPERFÍCIES[Materiais],0)), "-")</f>
        <v>-</v>
      </c>
      <c r="L29" s="200" t="str">
        <f>IFERROR(AVERAGE(G29:J29),"-")</f>
        <v>-</v>
      </c>
      <c r="M29" s="198" t="str">
        <f>IFERROR(INDEX(BASE_SUPERFÍCIES[Fonte],MATCH($D29,BASE_SUPERFÍCIES[Materiais],0)),"-")</f>
        <v>-</v>
      </c>
    </row>
    <row r="30" spans="3:20" ht="15" thickBot="1" x14ac:dyDescent="0.35">
      <c r="F30" s="203"/>
      <c r="G30" s="203"/>
      <c r="H30" s="203"/>
      <c r="I30" s="203"/>
      <c r="J30" s="203"/>
      <c r="K30" s="203"/>
      <c r="M30" s="42"/>
    </row>
    <row r="31" spans="3:20" ht="14.4" customHeight="1" x14ac:dyDescent="0.3">
      <c r="C31" s="218" t="s">
        <v>210</v>
      </c>
      <c r="D31" s="189" t="s">
        <v>7</v>
      </c>
      <c r="E31" s="193">
        <f>P9*P11-E32-E33</f>
        <v>26.880000000000006</v>
      </c>
      <c r="F31" s="181">
        <f>IFERROR(INDEX(BASE_SUPERFÍCIES[125 Hz],MATCH($D31,BASE_SUPERFÍCIES[Materiais],0)), "-")</f>
        <v>0.02</v>
      </c>
      <c r="G31" s="182">
        <f>IFERROR(INDEX(BASE_SUPERFÍCIES[250 Hz],MATCH($D31,BASE_SUPERFÍCIES[Materiais],0)), "-")</f>
        <v>0.02</v>
      </c>
      <c r="H31" s="182">
        <f>IFERROR(INDEX(BASE_SUPERFÍCIES[500 Hz],MATCH($D31,BASE_SUPERFÍCIES[Materiais],0)), "-")</f>
        <v>0.02</v>
      </c>
      <c r="I31" s="182">
        <f>IFERROR(INDEX(BASE_SUPERFÍCIES[1000 Hz],MATCH($D31,BASE_SUPERFÍCIES[Materiais],0)), "-")</f>
        <v>0.02</v>
      </c>
      <c r="J31" s="182">
        <f>IFERROR(INDEX(BASE_SUPERFÍCIES[2000 Hz],MATCH($D31,BASE_SUPERFÍCIES[Materiais],0)), "-")</f>
        <v>0.03</v>
      </c>
      <c r="K31" s="182">
        <f>IFERROR(INDEX(BASE_SUPERFÍCIES[4000 Hz],MATCH($D31,BASE_SUPERFÍCIES[Materiais],0)), "-")</f>
        <v>0.06</v>
      </c>
      <c r="L31" s="199">
        <f>IFERROR(AVERAGE(G31:J31),"-")</f>
        <v>2.2499999999999999E-2</v>
      </c>
      <c r="M31" s="183" t="str">
        <f>IFERROR(INDEX(BASE_SUPERFÍCIES[Fonte],MATCH($D31,BASE_SUPERFÍCIES[Materiais],0)),"-")</f>
        <v>USP - AUT0280; 2018</v>
      </c>
    </row>
    <row r="32" spans="3:20" x14ac:dyDescent="0.3">
      <c r="C32" s="218"/>
      <c r="D32" s="187" t="s">
        <v>131</v>
      </c>
      <c r="E32" s="191">
        <v>11.52</v>
      </c>
      <c r="F32" s="190">
        <f>IFERROR(INDEX(BASE_SUPERFÍCIES[125 Hz],MATCH($D32,BASE_SUPERFÍCIES[Materiais],0)), "-")</f>
        <v>0.18</v>
      </c>
      <c r="G32" s="192">
        <f>IFERROR(INDEX(BASE_SUPERFÍCIES[250 Hz],MATCH($D32,BASE_SUPERFÍCIES[Materiais],0)), "-")</f>
        <v>0.06</v>
      </c>
      <c r="H32" s="192">
        <f>IFERROR(INDEX(BASE_SUPERFÍCIES[500 Hz],MATCH($D32,BASE_SUPERFÍCIES[Materiais],0)), "-")</f>
        <v>0.04</v>
      </c>
      <c r="I32" s="192">
        <f>IFERROR(INDEX(BASE_SUPERFÍCIES[1000 Hz],MATCH($D32,BASE_SUPERFÍCIES[Materiais],0)), "-")</f>
        <v>0.03</v>
      </c>
      <c r="J32" s="192">
        <f>IFERROR(INDEX(BASE_SUPERFÍCIES[2000 Hz],MATCH($D32,BASE_SUPERFÍCIES[Materiais],0)), "-")</f>
        <v>0.02</v>
      </c>
      <c r="K32" s="192">
        <f>IFERROR(INDEX(BASE_SUPERFÍCIES[4000 Hz],MATCH($D32,BASE_SUPERFÍCIES[Materiais],0)), "-")</f>
        <v>0.02</v>
      </c>
      <c r="L32" s="8">
        <f>IFERROR(AVERAGE(G32:J32),"-")</f>
        <v>3.7499999999999999E-2</v>
      </c>
      <c r="M32" s="196" t="str">
        <f>IFERROR(INDEX(BASE_SUPERFÍCIES[Fonte],MATCH($D32,BASE_SUPERFÍCIES[Materiais],0)),"-")</f>
        <v>BISTAFA, Sylvio R; 2007</v>
      </c>
    </row>
    <row r="33" spans="3:13" x14ac:dyDescent="0.3">
      <c r="C33" s="218"/>
      <c r="D33" s="186" t="s">
        <v>22</v>
      </c>
      <c r="E33" s="194">
        <v>11.52</v>
      </c>
      <c r="F33" s="184">
        <f>IFERROR(INDEX(BASE_SUPERFÍCIES[125 Hz],MATCH($D33,BASE_SUPERFÍCIES[Materiais],0)), "-")</f>
        <v>0.04</v>
      </c>
      <c r="G33" s="185">
        <f>IFERROR(INDEX(BASE_SUPERFÍCIES[250 Hz],MATCH($D33,BASE_SUPERFÍCIES[Materiais],0)), "-")</f>
        <v>0.13</v>
      </c>
      <c r="H33" s="185">
        <f>IFERROR(INDEX(BASE_SUPERFÍCIES[500 Hz],MATCH($D33,BASE_SUPERFÍCIES[Materiais],0)), "-")</f>
        <v>0.13</v>
      </c>
      <c r="I33" s="185">
        <f>IFERROR(INDEX(BASE_SUPERFÍCIES[1000 Hz],MATCH($D33,BASE_SUPERFÍCIES[Materiais],0)), "-")</f>
        <v>0.5</v>
      </c>
      <c r="J33" s="185">
        <f>IFERROR(INDEX(BASE_SUPERFÍCIES[2000 Hz],MATCH($D33,BASE_SUPERFÍCIES[Materiais],0)), "-")</f>
        <v>0.32</v>
      </c>
      <c r="K33" s="185">
        <f>IFERROR(INDEX(BASE_SUPERFÍCIES[4000 Hz],MATCH($D33,BASE_SUPERFÍCIES[Materiais],0)), "-")</f>
        <v>0.32</v>
      </c>
      <c r="L33" s="12">
        <f>IFERROR(AVERAGE(G33:J33),"-")</f>
        <v>0.27</v>
      </c>
      <c r="M33" s="197" t="str">
        <f>IFERROR(INDEX(BASE_SUPERFÍCIES[Fonte],MATCH($D33,BASE_SUPERFÍCIES[Materiais],0)),"-")</f>
        <v>USP - AUT0280; 2018</v>
      </c>
    </row>
    <row r="34" spans="3:13" ht="15" thickBot="1" x14ac:dyDescent="0.35">
      <c r="C34" s="218"/>
      <c r="D34" s="188"/>
      <c r="E34" s="195"/>
      <c r="F34" s="201" t="str">
        <f>IFERROR(INDEX(BASE_SUPERFÍCIES[125 Hz],MATCH($D34,BASE_SUPERFÍCIES[Materiais],0)), "-")</f>
        <v>-</v>
      </c>
      <c r="G34" s="202" t="str">
        <f>IFERROR(INDEX(BASE_SUPERFÍCIES[250 Hz],MATCH($D34,BASE_SUPERFÍCIES[Materiais],0)), "-")</f>
        <v>-</v>
      </c>
      <c r="H34" s="202" t="str">
        <f>IFERROR(INDEX(BASE_SUPERFÍCIES[500 Hz],MATCH($D34,BASE_SUPERFÍCIES[Materiais],0)), "-")</f>
        <v>-</v>
      </c>
      <c r="I34" s="202" t="str">
        <f>IFERROR(INDEX(BASE_SUPERFÍCIES[1000 Hz],MATCH($D34,BASE_SUPERFÍCIES[Materiais],0)), "-")</f>
        <v>-</v>
      </c>
      <c r="J34" s="202" t="str">
        <f>IFERROR(INDEX(BASE_SUPERFÍCIES[2000 Hz],MATCH($D34,BASE_SUPERFÍCIES[Materiais],0)), "-")</f>
        <v>-</v>
      </c>
      <c r="K34" s="202" t="str">
        <f>IFERROR(INDEX(BASE_SUPERFÍCIES[4000 Hz],MATCH($D34,BASE_SUPERFÍCIES[Materiais],0)), "-")</f>
        <v>-</v>
      </c>
      <c r="L34" s="200" t="str">
        <f>IFERROR(AVERAGE(G34:J34),"-")</f>
        <v>-</v>
      </c>
      <c r="M34" s="198" t="str">
        <f>IFERROR(INDEX(BASE_SUPERFÍCIES[Fonte],MATCH($D34,BASE_SUPERFÍCIES[Materiais],0)),"-")</f>
        <v>-</v>
      </c>
    </row>
    <row r="35" spans="3:13" x14ac:dyDescent="0.3">
      <c r="M35" s="42"/>
    </row>
    <row r="36" spans="3:13" ht="14.4" customHeight="1" x14ac:dyDescent="0.3">
      <c r="D36" s="206" t="s">
        <v>77</v>
      </c>
      <c r="E36" s="207" t="s">
        <v>36</v>
      </c>
      <c r="F36" s="208">
        <f>SUMPRODUCT($E26:$E34,F26:F34)</f>
        <v>4.0704000000000002</v>
      </c>
      <c r="G36" s="208">
        <f t="shared" ref="G36:K36" si="1">SUMPRODUCT($E26:$E34,G26:G34)</f>
        <v>3.7248000000000001</v>
      </c>
      <c r="H36" s="208">
        <f t="shared" si="1"/>
        <v>3.4944000000000006</v>
      </c>
      <c r="I36" s="208">
        <f t="shared" si="1"/>
        <v>7.6416000000000004</v>
      </c>
      <c r="J36" s="208">
        <f t="shared" si="1"/>
        <v>6.2208000000000006</v>
      </c>
      <c r="K36" s="208">
        <f t="shared" si="1"/>
        <v>8.5248000000000008</v>
      </c>
      <c r="L36" s="208">
        <f>SUMPRODUCT($E26:$E34,L26:L34)</f>
        <v>5.2704000000000004</v>
      </c>
      <c r="M36" s="207"/>
    </row>
    <row r="37" spans="3:13" x14ac:dyDescent="0.3">
      <c r="D37" s="206" t="s">
        <v>216</v>
      </c>
      <c r="E37" s="207">
        <f>SUM(E26:E34)</f>
        <v>99.84</v>
      </c>
      <c r="M37" s="42"/>
    </row>
    <row r="38" spans="3:13" x14ac:dyDescent="0.3">
      <c r="M38" s="42"/>
    </row>
    <row r="39" spans="3:13" x14ac:dyDescent="0.3">
      <c r="D39" s="75" t="s">
        <v>213</v>
      </c>
    </row>
    <row r="40" spans="3:13" ht="15" thickBot="1" x14ac:dyDescent="0.35"/>
    <row r="41" spans="3:13" ht="14.4" customHeight="1" thickBot="1" x14ac:dyDescent="0.35">
      <c r="D41" s="204" t="s">
        <v>68</v>
      </c>
      <c r="E41" s="27" t="s">
        <v>74</v>
      </c>
      <c r="F41" s="27" t="s">
        <v>62</v>
      </c>
      <c r="G41" s="27" t="s">
        <v>63</v>
      </c>
      <c r="H41" s="27" t="s">
        <v>65</v>
      </c>
      <c r="I41" s="27" t="s">
        <v>64</v>
      </c>
      <c r="J41" s="27" t="s">
        <v>66</v>
      </c>
      <c r="K41" s="27" t="s">
        <v>67</v>
      </c>
      <c r="L41" s="27" t="s">
        <v>69</v>
      </c>
      <c r="M41" s="205" t="s">
        <v>70</v>
      </c>
    </row>
    <row r="42" spans="3:13" ht="14.4" customHeight="1" x14ac:dyDescent="0.3">
      <c r="C42" s="218" t="s">
        <v>197</v>
      </c>
      <c r="D42" s="180" t="s">
        <v>32</v>
      </c>
      <c r="E42" s="71">
        <f>P9*P10</f>
        <v>61.44</v>
      </c>
      <c r="F42" s="181">
        <f>IFERROR(INDEX(BASE_SUPERFÍCIES[125 Hz],MATCH($D42,BASE_SUPERFÍCIES[Materiais],0)), "-")</f>
        <v>0.1</v>
      </c>
      <c r="G42" s="182">
        <f>IFERROR(INDEX(BASE_SUPERFÍCIES[250 Hz],MATCH($D42,BASE_SUPERFÍCIES[Materiais],0)), "-")</f>
        <v>0.15</v>
      </c>
      <c r="H42" s="182">
        <f>IFERROR(INDEX(BASE_SUPERFÍCIES[500 Hz],MATCH($D42,BASE_SUPERFÍCIES[Materiais],0)), "-")</f>
        <v>0.25</v>
      </c>
      <c r="I42" s="182">
        <f>IFERROR(INDEX(BASE_SUPERFÍCIES[1000 Hz],MATCH($D42,BASE_SUPERFÍCIES[Materiais],0)), "-")</f>
        <v>0.3</v>
      </c>
      <c r="J42" s="182">
        <f>IFERROR(INDEX(BASE_SUPERFÍCIES[2000 Hz],MATCH($D42,BASE_SUPERFÍCIES[Materiais],0)), "-")</f>
        <v>0.3</v>
      </c>
      <c r="K42" s="182">
        <f>IFERROR(INDEX(BASE_SUPERFÍCIES[4000 Hz],MATCH($D42,BASE_SUPERFÍCIES[Materiais],0)), "-")</f>
        <v>0.3</v>
      </c>
      <c r="L42" s="199">
        <f>IFERROR(AVERAGE(G42:J42),"-")</f>
        <v>0.25</v>
      </c>
      <c r="M42" s="183" t="str">
        <f>IFERROR(INDEX(BASE_SUPERFÍCIES[Fonte],MATCH($D42,BASE_SUPERFÍCIES[Materiais],0)),"-")</f>
        <v>USP - AUT0280; 2018</v>
      </c>
    </row>
    <row r="43" spans="3:13" x14ac:dyDescent="0.3">
      <c r="C43" s="218"/>
      <c r="D43" s="187"/>
      <c r="E43" s="191"/>
      <c r="F43" s="190" t="str">
        <f>IFERROR(INDEX(BASE_SUPERFÍCIES[125 Hz],MATCH($D43,BASE_SUPERFÍCIES[Materiais],0)), "-")</f>
        <v>-</v>
      </c>
      <c r="G43" s="192" t="str">
        <f>IFERROR(INDEX(BASE_SUPERFÍCIES[250 Hz],MATCH($D43,BASE_SUPERFÍCIES[Materiais],0)), "-")</f>
        <v>-</v>
      </c>
      <c r="H43" s="192" t="str">
        <f>IFERROR(INDEX(BASE_SUPERFÍCIES[500 Hz],MATCH($D43,BASE_SUPERFÍCIES[Materiais],0)), "-")</f>
        <v>-</v>
      </c>
      <c r="I43" s="192" t="str">
        <f>IFERROR(INDEX(BASE_SUPERFÍCIES[1000 Hz],MATCH($D43,BASE_SUPERFÍCIES[Materiais],0)), "-")</f>
        <v>-</v>
      </c>
      <c r="J43" s="192" t="str">
        <f>IFERROR(INDEX(BASE_SUPERFÍCIES[2000 Hz],MATCH($D43,BASE_SUPERFÍCIES[Materiais],0)), "-")</f>
        <v>-</v>
      </c>
      <c r="K43" s="192" t="str">
        <f>IFERROR(INDEX(BASE_SUPERFÍCIES[4000 Hz],MATCH($D43,BASE_SUPERFÍCIES[Materiais],0)), "-")</f>
        <v>-</v>
      </c>
      <c r="L43" s="8" t="str">
        <f>IFERROR(AVERAGE(G43:J43),"-")</f>
        <v>-</v>
      </c>
      <c r="M43" s="196" t="str">
        <f>IFERROR(INDEX(BASE_SUPERFÍCIES[Fonte],MATCH($D43,BASE_SUPERFÍCIES[Materiais],0)),"-")</f>
        <v>-</v>
      </c>
    </row>
    <row r="44" spans="3:13" x14ac:dyDescent="0.3">
      <c r="C44" s="218"/>
      <c r="D44" s="186"/>
      <c r="E44" s="194"/>
      <c r="F44" s="184" t="str">
        <f>IFERROR(INDEX(BASE_SUPERFÍCIES[125 Hz],MATCH($D44,BASE_SUPERFÍCIES[Materiais],0)), "-")</f>
        <v>-</v>
      </c>
      <c r="G44" s="185" t="str">
        <f>IFERROR(INDEX(BASE_SUPERFÍCIES[250 Hz],MATCH($D44,BASE_SUPERFÍCIES[Materiais],0)), "-")</f>
        <v>-</v>
      </c>
      <c r="H44" s="185" t="str">
        <f>IFERROR(INDEX(BASE_SUPERFÍCIES[500 Hz],MATCH($D44,BASE_SUPERFÍCIES[Materiais],0)), "-")</f>
        <v>-</v>
      </c>
      <c r="I44" s="185" t="str">
        <f>IFERROR(INDEX(BASE_SUPERFÍCIES[1000 Hz],MATCH($D44,BASE_SUPERFÍCIES[Materiais],0)), "-")</f>
        <v>-</v>
      </c>
      <c r="J44" s="185" t="str">
        <f>IFERROR(INDEX(BASE_SUPERFÍCIES[2000 Hz],MATCH($D44,BASE_SUPERFÍCIES[Materiais],0)), "-")</f>
        <v>-</v>
      </c>
      <c r="K44" s="185" t="str">
        <f>IFERROR(INDEX(BASE_SUPERFÍCIES[4000 Hz],MATCH($D44,BASE_SUPERFÍCIES[Materiais],0)), "-")</f>
        <v>-</v>
      </c>
      <c r="L44" s="12" t="str">
        <f>IFERROR(AVERAGE(G44:J44),"-")</f>
        <v>-</v>
      </c>
      <c r="M44" s="197" t="str">
        <f>IFERROR(INDEX(BASE_SUPERFÍCIES[Fonte],MATCH($D44,BASE_SUPERFÍCIES[Materiais],0)),"-")</f>
        <v>-</v>
      </c>
    </row>
    <row r="45" spans="3:13" ht="15" thickBot="1" x14ac:dyDescent="0.35">
      <c r="C45" s="218"/>
      <c r="D45" s="188"/>
      <c r="E45" s="195"/>
      <c r="F45" s="201" t="str">
        <f>IFERROR(INDEX(BASE_SUPERFÍCIES[125 Hz],MATCH($D45,BASE_SUPERFÍCIES[Materiais],0)), "-")</f>
        <v>-</v>
      </c>
      <c r="G45" s="202" t="str">
        <f>IFERROR(INDEX(BASE_SUPERFÍCIES[250 Hz],MATCH($D45,BASE_SUPERFÍCIES[Materiais],0)), "-")</f>
        <v>-</v>
      </c>
      <c r="H45" s="202" t="str">
        <f>IFERROR(INDEX(BASE_SUPERFÍCIES[500 Hz],MATCH($D45,BASE_SUPERFÍCIES[Materiais],0)), "-")</f>
        <v>-</v>
      </c>
      <c r="I45" s="202" t="str">
        <f>IFERROR(INDEX(BASE_SUPERFÍCIES[1000 Hz],MATCH($D45,BASE_SUPERFÍCIES[Materiais],0)), "-")</f>
        <v>-</v>
      </c>
      <c r="J45" s="202" t="str">
        <f>IFERROR(INDEX(BASE_SUPERFÍCIES[2000 Hz],MATCH($D45,BASE_SUPERFÍCIES[Materiais],0)), "-")</f>
        <v>-</v>
      </c>
      <c r="K45" s="202" t="str">
        <f>IFERROR(INDEX(BASE_SUPERFÍCIES[4000 Hz],MATCH($D45,BASE_SUPERFÍCIES[Materiais],0)), "-")</f>
        <v>-</v>
      </c>
      <c r="L45" s="200" t="str">
        <f>IFERROR(AVERAGE(G45:J45),"-")</f>
        <v>-</v>
      </c>
      <c r="M45" s="198" t="str">
        <f>IFERROR(INDEX(BASE_SUPERFÍCIES[Fonte],MATCH($D45,BASE_SUPERFÍCIES[Materiais],0)),"-")</f>
        <v>-</v>
      </c>
    </row>
    <row r="46" spans="3:13" ht="15" thickBot="1" x14ac:dyDescent="0.35">
      <c r="F46" s="203"/>
      <c r="G46" s="203"/>
      <c r="H46" s="203"/>
      <c r="I46" s="203"/>
      <c r="J46" s="203"/>
      <c r="K46" s="203"/>
      <c r="M46" s="42"/>
    </row>
    <row r="47" spans="3:13" ht="14.4" customHeight="1" x14ac:dyDescent="0.3">
      <c r="C47" s="218" t="s">
        <v>198</v>
      </c>
      <c r="D47" s="189" t="s">
        <v>200</v>
      </c>
      <c r="E47" s="69">
        <f>P9*P10</f>
        <v>61.44</v>
      </c>
      <c r="F47" s="181">
        <f>IFERROR(INDEX(BASE_SUPERFÍCIES[125 Hz],MATCH($D47,BASE_SUPERFÍCIES[Materiais],0)), "-")</f>
        <v>0.35</v>
      </c>
      <c r="G47" s="182">
        <f>IFERROR(INDEX(BASE_SUPERFÍCIES[250 Hz],MATCH($D47,BASE_SUPERFÍCIES[Materiais],0)), "-")</f>
        <v>0.45</v>
      </c>
      <c r="H47" s="182">
        <f>IFERROR(INDEX(BASE_SUPERFÍCIES[500 Hz],MATCH($D47,BASE_SUPERFÍCIES[Materiais],0)), "-")</f>
        <v>0.65</v>
      </c>
      <c r="I47" s="182">
        <f>IFERROR(INDEX(BASE_SUPERFÍCIES[1000 Hz],MATCH($D47,BASE_SUPERFÍCIES[Materiais],0)), "-")</f>
        <v>0.8</v>
      </c>
      <c r="J47" s="182">
        <f>IFERROR(INDEX(BASE_SUPERFÍCIES[2000 Hz],MATCH($D47,BASE_SUPERFÍCIES[Materiais],0)), "-")</f>
        <v>0.8</v>
      </c>
      <c r="K47" s="182">
        <f>IFERROR(INDEX(BASE_SUPERFÍCIES[4000 Hz],MATCH($D47,BASE_SUPERFÍCIES[Materiais],0)), "-")</f>
        <v>0.75</v>
      </c>
      <c r="L47" s="199">
        <f>IFERROR(AVERAGE(G47:J47),"-")</f>
        <v>0.67500000000000004</v>
      </c>
      <c r="M47" s="183" t="str">
        <f>IFERROR(INDEX(BASE_SUPERFÍCIES[Fonte],MATCH($D47,BASE_SUPERFÍCIES[Materiais],0)),"-")</f>
        <v>USP - AUT0280; 2018</v>
      </c>
    </row>
    <row r="48" spans="3:13" x14ac:dyDescent="0.3">
      <c r="C48" s="218"/>
      <c r="D48" s="187"/>
      <c r="E48" s="191"/>
      <c r="F48" s="190" t="str">
        <f>IFERROR(INDEX(BASE_SUPERFÍCIES[125 Hz],MATCH($D48,BASE_SUPERFÍCIES[Materiais],0)), "-")</f>
        <v>-</v>
      </c>
      <c r="G48" s="192" t="str">
        <f>IFERROR(INDEX(BASE_SUPERFÍCIES[250 Hz],MATCH($D48,BASE_SUPERFÍCIES[Materiais],0)), "-")</f>
        <v>-</v>
      </c>
      <c r="H48" s="192" t="str">
        <f>IFERROR(INDEX(BASE_SUPERFÍCIES[500 Hz],MATCH($D48,BASE_SUPERFÍCIES[Materiais],0)), "-")</f>
        <v>-</v>
      </c>
      <c r="I48" s="192" t="str">
        <f>IFERROR(INDEX(BASE_SUPERFÍCIES[1000 Hz],MATCH($D48,BASE_SUPERFÍCIES[Materiais],0)), "-")</f>
        <v>-</v>
      </c>
      <c r="J48" s="192" t="str">
        <f>IFERROR(INDEX(BASE_SUPERFÍCIES[2000 Hz],MATCH($D48,BASE_SUPERFÍCIES[Materiais],0)), "-")</f>
        <v>-</v>
      </c>
      <c r="K48" s="192" t="str">
        <f>IFERROR(INDEX(BASE_SUPERFÍCIES[4000 Hz],MATCH($D48,BASE_SUPERFÍCIES[Materiais],0)), "-")</f>
        <v>-</v>
      </c>
      <c r="L48" s="8" t="str">
        <f>IFERROR(AVERAGE(G48:J48),"-")</f>
        <v>-</v>
      </c>
      <c r="M48" s="196" t="str">
        <f>IFERROR(INDEX(BASE_SUPERFÍCIES[Fonte],MATCH($D48,BASE_SUPERFÍCIES[Materiais],0)),"-")</f>
        <v>-</v>
      </c>
    </row>
    <row r="49" spans="3:13" x14ac:dyDescent="0.3">
      <c r="C49" s="218"/>
      <c r="D49" s="186"/>
      <c r="E49" s="194"/>
      <c r="F49" s="184" t="str">
        <f>IFERROR(INDEX(BASE_SUPERFÍCIES[125 Hz],MATCH($D49,BASE_SUPERFÍCIES[Materiais],0)), "-")</f>
        <v>-</v>
      </c>
      <c r="G49" s="185" t="str">
        <f>IFERROR(INDEX(BASE_SUPERFÍCIES[250 Hz],MATCH($D49,BASE_SUPERFÍCIES[Materiais],0)), "-")</f>
        <v>-</v>
      </c>
      <c r="H49" s="185" t="str">
        <f>IFERROR(INDEX(BASE_SUPERFÍCIES[500 Hz],MATCH($D49,BASE_SUPERFÍCIES[Materiais],0)), "-")</f>
        <v>-</v>
      </c>
      <c r="I49" s="185" t="str">
        <f>IFERROR(INDEX(BASE_SUPERFÍCIES[1000 Hz],MATCH($D49,BASE_SUPERFÍCIES[Materiais],0)), "-")</f>
        <v>-</v>
      </c>
      <c r="J49" s="185" t="str">
        <f>IFERROR(INDEX(BASE_SUPERFÍCIES[2000 Hz],MATCH($D49,BASE_SUPERFÍCIES[Materiais],0)), "-")</f>
        <v>-</v>
      </c>
      <c r="K49" s="185" t="str">
        <f>IFERROR(INDEX(BASE_SUPERFÍCIES[4000 Hz],MATCH($D49,BASE_SUPERFÍCIES[Materiais],0)), "-")</f>
        <v>-</v>
      </c>
      <c r="L49" s="12" t="str">
        <f>IFERROR(AVERAGE(G49:J49),"-")</f>
        <v>-</v>
      </c>
      <c r="M49" s="197" t="str">
        <f>IFERROR(INDEX(BASE_SUPERFÍCIES[Fonte],MATCH($D49,BASE_SUPERFÍCIES[Materiais],0)),"-")</f>
        <v>-</v>
      </c>
    </row>
    <row r="50" spans="3:13" ht="15" thickBot="1" x14ac:dyDescent="0.35">
      <c r="C50" s="218"/>
      <c r="D50" s="188"/>
      <c r="E50" s="195"/>
      <c r="F50" s="201" t="str">
        <f>IFERROR(INDEX(BASE_SUPERFÍCIES[125 Hz],MATCH($D50,BASE_SUPERFÍCIES[Materiais],0)), "-")</f>
        <v>-</v>
      </c>
      <c r="G50" s="202" t="str">
        <f>IFERROR(INDEX(BASE_SUPERFÍCIES[250 Hz],MATCH($D50,BASE_SUPERFÍCIES[Materiais],0)), "-")</f>
        <v>-</v>
      </c>
      <c r="H50" s="202" t="str">
        <f>IFERROR(INDEX(BASE_SUPERFÍCIES[500 Hz],MATCH($D50,BASE_SUPERFÍCIES[Materiais],0)), "-")</f>
        <v>-</v>
      </c>
      <c r="I50" s="202" t="str">
        <f>IFERROR(INDEX(BASE_SUPERFÍCIES[1000 Hz],MATCH($D50,BASE_SUPERFÍCIES[Materiais],0)), "-")</f>
        <v>-</v>
      </c>
      <c r="J50" s="202" t="str">
        <f>IFERROR(INDEX(BASE_SUPERFÍCIES[2000 Hz],MATCH($D50,BASE_SUPERFÍCIES[Materiais],0)), "-")</f>
        <v>-</v>
      </c>
      <c r="K50" s="202" t="str">
        <f>IFERROR(INDEX(BASE_SUPERFÍCIES[4000 Hz],MATCH($D50,BASE_SUPERFÍCIES[Materiais],0)), "-")</f>
        <v>-</v>
      </c>
      <c r="L50" s="200" t="str">
        <f>IFERROR(AVERAGE(G50:J50),"-")</f>
        <v>-</v>
      </c>
      <c r="M50" s="198" t="str">
        <f>IFERROR(INDEX(BASE_SUPERFÍCIES[Fonte],MATCH($D50,BASE_SUPERFÍCIES[Materiais],0)),"-")</f>
        <v>-</v>
      </c>
    </row>
    <row r="51" spans="3:13" x14ac:dyDescent="0.3">
      <c r="M51" s="42"/>
    </row>
    <row r="52" spans="3:13" x14ac:dyDescent="0.3">
      <c r="D52" s="206" t="s">
        <v>77</v>
      </c>
      <c r="E52" s="207" t="s">
        <v>36</v>
      </c>
      <c r="F52" s="208">
        <f>SUMPRODUCT($E42:$E50,F42:F50)</f>
        <v>27.647999999999996</v>
      </c>
      <c r="G52" s="208">
        <f t="shared" ref="G52:K52" si="2">SUMPRODUCT($E42:$E50,G42:G50)</f>
        <v>36.863999999999997</v>
      </c>
      <c r="H52" s="208">
        <f t="shared" si="2"/>
        <v>55.295999999999999</v>
      </c>
      <c r="I52" s="208">
        <f t="shared" si="2"/>
        <v>67.584000000000003</v>
      </c>
      <c r="J52" s="208">
        <f t="shared" si="2"/>
        <v>67.584000000000003</v>
      </c>
      <c r="K52" s="208">
        <f t="shared" si="2"/>
        <v>64.512</v>
      </c>
      <c r="L52" s="208">
        <f>SUMPRODUCT($E42:$E50,L42:L50)</f>
        <v>56.832000000000001</v>
      </c>
      <c r="M52" s="207"/>
    </row>
    <row r="53" spans="3:13" x14ac:dyDescent="0.3">
      <c r="D53" s="206" t="s">
        <v>215</v>
      </c>
      <c r="E53" s="207">
        <f>SUM(E42:E50)</f>
        <v>122.88</v>
      </c>
      <c r="M53" s="42"/>
    </row>
    <row r="54" spans="3:13" x14ac:dyDescent="0.3">
      <c r="D54" s="209"/>
      <c r="E54" s="210"/>
      <c r="M54" s="42"/>
    </row>
    <row r="55" spans="3:13" x14ac:dyDescent="0.3">
      <c r="D55" s="206" t="s">
        <v>221</v>
      </c>
      <c r="E55" s="207">
        <f>E53+E37+E21</f>
        <v>289.27999999999997</v>
      </c>
      <c r="M55" s="42"/>
    </row>
    <row r="56" spans="3:13" x14ac:dyDescent="0.3">
      <c r="D56" s="209"/>
      <c r="E56" s="210"/>
      <c r="M56" s="42"/>
    </row>
    <row r="57" spans="3:13" x14ac:dyDescent="0.3">
      <c r="D57" s="213" t="s">
        <v>226</v>
      </c>
      <c r="E57" s="211"/>
      <c r="F57" s="212">
        <v>0</v>
      </c>
      <c r="G57" s="212">
        <v>0</v>
      </c>
      <c r="H57" s="212">
        <v>0</v>
      </c>
      <c r="I57" s="212">
        <v>0</v>
      </c>
      <c r="J57" s="212">
        <v>0.01</v>
      </c>
      <c r="K57" s="212">
        <v>0.03</v>
      </c>
      <c r="L57" s="208">
        <f>AVERAGE(G57:J57)</f>
        <v>2.5000000000000001E-3</v>
      </c>
      <c r="M57" s="214" t="s">
        <v>81</v>
      </c>
    </row>
    <row r="58" spans="3:13" x14ac:dyDescent="0.3">
      <c r="D58" s="209"/>
      <c r="E58" s="210"/>
      <c r="M58" s="42"/>
    </row>
    <row r="59" spans="3:13" ht="15" thickBot="1" x14ac:dyDescent="0.35">
      <c r="D59" s="75" t="s">
        <v>218</v>
      </c>
      <c r="M59" s="42"/>
    </row>
    <row r="60" spans="3:13" ht="15" thickBot="1" x14ac:dyDescent="0.35">
      <c r="F60" s="28" t="s">
        <v>62</v>
      </c>
      <c r="G60" s="27" t="s">
        <v>63</v>
      </c>
      <c r="H60" s="27" t="s">
        <v>65</v>
      </c>
      <c r="I60" s="27" t="s">
        <v>64</v>
      </c>
      <c r="J60" s="27" t="s">
        <v>66</v>
      </c>
      <c r="K60" s="27" t="s">
        <v>67</v>
      </c>
      <c r="L60" s="29" t="s">
        <v>69</v>
      </c>
      <c r="M60" s="42"/>
    </row>
    <row r="61" spans="3:13" ht="16.2" thickBot="1" x14ac:dyDescent="0.35">
      <c r="D61" s="101" t="s">
        <v>217</v>
      </c>
      <c r="E61" s="102"/>
      <c r="F61" s="103">
        <f>F20/Sx</f>
        <v>0.02</v>
      </c>
      <c r="G61" s="103">
        <f t="shared" ref="F61:L61" si="3">G20/Sx</f>
        <v>0.02</v>
      </c>
      <c r="H61" s="103">
        <f t="shared" si="3"/>
        <v>0.02</v>
      </c>
      <c r="I61" s="103">
        <f t="shared" si="3"/>
        <v>0.02</v>
      </c>
      <c r="J61" s="103">
        <f t="shared" si="3"/>
        <v>0.03</v>
      </c>
      <c r="K61" s="103">
        <f t="shared" si="3"/>
        <v>0.06</v>
      </c>
      <c r="L61" s="104">
        <f t="shared" si="3"/>
        <v>2.2499999999999999E-2</v>
      </c>
      <c r="M61" s="42"/>
    </row>
    <row r="62" spans="3:13" x14ac:dyDescent="0.3">
      <c r="M62" s="42"/>
    </row>
    <row r="63" spans="3:13" ht="15" thickBot="1" x14ac:dyDescent="0.35">
      <c r="D63" s="75" t="s">
        <v>222</v>
      </c>
      <c r="M63" s="42"/>
    </row>
    <row r="64" spans="3:13" ht="15" thickBot="1" x14ac:dyDescent="0.35">
      <c r="F64" s="28" t="s">
        <v>62</v>
      </c>
      <c r="G64" s="27" t="s">
        <v>63</v>
      </c>
      <c r="H64" s="27" t="s">
        <v>65</v>
      </c>
      <c r="I64" s="27" t="s">
        <v>64</v>
      </c>
      <c r="J64" s="27" t="s">
        <v>66</v>
      </c>
      <c r="K64" s="27" t="s">
        <v>67</v>
      </c>
      <c r="L64" s="29" t="s">
        <v>69</v>
      </c>
      <c r="M64" s="42"/>
    </row>
    <row r="65" spans="4:12" ht="16.2" thickBot="1" x14ac:dyDescent="0.35">
      <c r="D65" s="101" t="s">
        <v>225</v>
      </c>
      <c r="E65" s="102"/>
      <c r="F65" s="103">
        <f t="shared" ref="F65:L65" si="4">F36/Sy</f>
        <v>4.0769230769230773E-2</v>
      </c>
      <c r="G65" s="103">
        <f t="shared" si="4"/>
        <v>3.7307692307692306E-2</v>
      </c>
      <c r="H65" s="103">
        <f t="shared" si="4"/>
        <v>3.5000000000000003E-2</v>
      </c>
      <c r="I65" s="103">
        <f t="shared" si="4"/>
        <v>7.6538461538461541E-2</v>
      </c>
      <c r="J65" s="103">
        <f t="shared" si="4"/>
        <v>6.2307692307692314E-2</v>
      </c>
      <c r="K65" s="103">
        <f t="shared" si="4"/>
        <v>8.5384615384615392E-2</v>
      </c>
      <c r="L65" s="104">
        <f t="shared" si="4"/>
        <v>5.2788461538461541E-2</v>
      </c>
    </row>
    <row r="67" spans="4:12" ht="15" thickBot="1" x14ac:dyDescent="0.35">
      <c r="D67" s="75" t="s">
        <v>223</v>
      </c>
    </row>
    <row r="68" spans="4:12" ht="15" thickBot="1" x14ac:dyDescent="0.35">
      <c r="F68" s="28" t="s">
        <v>62</v>
      </c>
      <c r="G68" s="27" t="s">
        <v>63</v>
      </c>
      <c r="H68" s="27" t="s">
        <v>65</v>
      </c>
      <c r="I68" s="27" t="s">
        <v>64</v>
      </c>
      <c r="J68" s="27" t="s">
        <v>66</v>
      </c>
      <c r="K68" s="27" t="s">
        <v>67</v>
      </c>
      <c r="L68" s="29" t="s">
        <v>69</v>
      </c>
    </row>
    <row r="69" spans="4:12" ht="16.2" thickBot="1" x14ac:dyDescent="0.35">
      <c r="D69" s="101" t="s">
        <v>224</v>
      </c>
      <c r="E69" s="102"/>
      <c r="F69" s="103">
        <f t="shared" ref="F69:L69" si="5">F52/Sz</f>
        <v>0.22499999999999998</v>
      </c>
      <c r="G69" s="103">
        <f t="shared" si="5"/>
        <v>0.3</v>
      </c>
      <c r="H69" s="103">
        <f t="shared" si="5"/>
        <v>0.45</v>
      </c>
      <c r="I69" s="103">
        <f t="shared" si="5"/>
        <v>0.55000000000000004</v>
      </c>
      <c r="J69" s="103">
        <f t="shared" si="5"/>
        <v>0.55000000000000004</v>
      </c>
      <c r="K69" s="103">
        <f t="shared" si="5"/>
        <v>0.52500000000000002</v>
      </c>
      <c r="L69" s="104">
        <f t="shared" si="5"/>
        <v>0.46250000000000002</v>
      </c>
    </row>
    <row r="71" spans="4:12" ht="15" thickBot="1" x14ac:dyDescent="0.35">
      <c r="D71" s="75" t="s">
        <v>219</v>
      </c>
    </row>
    <row r="72" spans="4:12" ht="15" thickBot="1" x14ac:dyDescent="0.35">
      <c r="F72" s="28" t="s">
        <v>62</v>
      </c>
      <c r="G72" s="27" t="s">
        <v>63</v>
      </c>
      <c r="H72" s="27" t="s">
        <v>65</v>
      </c>
      <c r="I72" s="27" t="s">
        <v>64</v>
      </c>
      <c r="J72" s="27" t="s">
        <v>66</v>
      </c>
      <c r="K72" s="27" t="s">
        <v>67</v>
      </c>
      <c r="L72" s="29" t="s">
        <v>69</v>
      </c>
    </row>
    <row r="73" spans="4:12" ht="16.2" thickBot="1" x14ac:dyDescent="0.35">
      <c r="D73" s="101" t="s">
        <v>220</v>
      </c>
      <c r="E73" s="102"/>
      <c r="F73" s="103">
        <f>($E$55*F61*F65*F69)/(($E$21*F65*F69)+($E$37*F61*F69)+($E$53*F61*F65))</f>
        <v>4.5750152780607047E-2</v>
      </c>
      <c r="G73" s="103">
        <f t="shared" ref="G73:K73" si="6">($E$55*G61*G65*G69)/(($E$21*G65*G69)+($E$37*G61*G69)+($E$53*G61*G65))</f>
        <v>4.5103283680355523E-2</v>
      </c>
      <c r="H73" s="103">
        <f t="shared" si="6"/>
        <v>4.4824329429542877E-2</v>
      </c>
      <c r="I73" s="103">
        <f t="shared" si="6"/>
        <v>5.9573376620248836E-2</v>
      </c>
      <c r="J73" s="103">
        <f t="shared" si="6"/>
        <v>7.1525084182259904E-2</v>
      </c>
      <c r="K73" s="103">
        <f t="shared" si="6"/>
        <v>0.11512771425574317</v>
      </c>
      <c r="L73" s="104">
        <f>($E$55*L61*L65*L69)/(($E$21*L65*L69)+($E$37*L61*L69)+($E$53*L61*L65))</f>
        <v>5.6552674474526554E-2</v>
      </c>
    </row>
    <row r="75" spans="4:12" ht="15" thickBot="1" x14ac:dyDescent="0.35">
      <c r="D75" s="75" t="s">
        <v>227</v>
      </c>
    </row>
    <row r="76" spans="4:12" ht="15" thickBot="1" x14ac:dyDescent="0.35">
      <c r="F76" s="28" t="s">
        <v>62</v>
      </c>
      <c r="G76" s="27" t="s">
        <v>63</v>
      </c>
      <c r="H76" s="27" t="s">
        <v>65</v>
      </c>
      <c r="I76" s="27" t="s">
        <v>64</v>
      </c>
      <c r="J76" s="27" t="s">
        <v>66</v>
      </c>
      <c r="K76" s="27" t="s">
        <v>67</v>
      </c>
      <c r="L76" s="29" t="s">
        <v>69</v>
      </c>
    </row>
    <row r="77" spans="4:12" ht="15" thickBot="1" x14ac:dyDescent="0.35">
      <c r="D77" s="101" t="s">
        <v>183</v>
      </c>
      <c r="E77" s="102"/>
      <c r="F77" s="166">
        <v>0.03</v>
      </c>
      <c r="G77" s="166">
        <v>2.1999999999999999E-2</v>
      </c>
      <c r="H77" s="166">
        <v>0.02</v>
      </c>
      <c r="I77" s="166">
        <v>2.4E-2</v>
      </c>
      <c r="J77" s="166">
        <v>2.8000000000000001E-2</v>
      </c>
      <c r="K77" s="166">
        <v>5.3999999999999999E-2</v>
      </c>
      <c r="L77" s="104">
        <f>AVERAGE(G77:J77)</f>
        <v>2.35E-2</v>
      </c>
    </row>
    <row r="79" spans="4:12" ht="15" thickBot="1" x14ac:dyDescent="0.35">
      <c r="D79" s="75" t="s">
        <v>228</v>
      </c>
    </row>
    <row r="80" spans="4:12" ht="15" thickBot="1" x14ac:dyDescent="0.35">
      <c r="F80" s="28" t="s">
        <v>62</v>
      </c>
      <c r="G80" s="27" t="s">
        <v>63</v>
      </c>
      <c r="H80" s="27" t="s">
        <v>65</v>
      </c>
      <c r="I80" s="27" t="s">
        <v>64</v>
      </c>
      <c r="J80" s="27" t="s">
        <v>66</v>
      </c>
      <c r="K80" s="27" t="s">
        <v>67</v>
      </c>
      <c r="L80" s="46" t="s">
        <v>188</v>
      </c>
    </row>
    <row r="81" spans="4:12" ht="15" thickBot="1" x14ac:dyDescent="0.35">
      <c r="D81" s="101" t="s">
        <v>184</v>
      </c>
      <c r="E81" s="102"/>
      <c r="F81" s="103">
        <f>(0.161*$P$14)/(($P$13*F77)+(F57*$P$14))</f>
        <v>5.9270796460177007</v>
      </c>
      <c r="G81" s="103">
        <f t="shared" ref="G81:L81" si="7">(0.161*$P$14)/(($P$13*G77)+(G57*$P$14))</f>
        <v>8.0823813354786811</v>
      </c>
      <c r="H81" s="103">
        <f t="shared" si="7"/>
        <v>8.8906194690265483</v>
      </c>
      <c r="I81" s="103">
        <f t="shared" si="7"/>
        <v>7.4088495575221245</v>
      </c>
      <c r="J81" s="103">
        <f t="shared" si="7"/>
        <v>4.5541251133272898</v>
      </c>
      <c r="K81" s="103">
        <f t="shared" si="7"/>
        <v>2.0407068860450948</v>
      </c>
      <c r="L81" s="104">
        <f t="shared" si="7"/>
        <v>6.7709519797809605</v>
      </c>
    </row>
    <row r="83" spans="4:12" ht="15" thickBot="1" x14ac:dyDescent="0.35">
      <c r="D83" s="75" t="s">
        <v>229</v>
      </c>
    </row>
    <row r="84" spans="4:12" ht="15" thickBot="1" x14ac:dyDescent="0.35">
      <c r="F84" s="28" t="s">
        <v>62</v>
      </c>
      <c r="G84" s="27" t="s">
        <v>63</v>
      </c>
      <c r="H84" s="27" t="s">
        <v>65</v>
      </c>
      <c r="I84" s="27" t="s">
        <v>64</v>
      </c>
      <c r="J84" s="27" t="s">
        <v>66</v>
      </c>
      <c r="K84" s="27" t="s">
        <v>67</v>
      </c>
      <c r="L84" s="29" t="s">
        <v>189</v>
      </c>
    </row>
    <row r="85" spans="4:12" ht="15" thickBot="1" x14ac:dyDescent="0.35">
      <c r="D85" s="101" t="s">
        <v>185</v>
      </c>
      <c r="E85" s="102"/>
      <c r="F85" s="103">
        <f>(0.161*$P$14)/(($E$55*F73)+(F57*$P$14))</f>
        <v>3.8865966247855583</v>
      </c>
      <c r="G85" s="103">
        <f t="shared" ref="G85:K85" si="8">(0.161*$P$14)/(($E$55*G73)+(G57*$P$14))</f>
        <v>3.9423380044938092</v>
      </c>
      <c r="H85" s="103">
        <f t="shared" si="8"/>
        <v>3.9668722687759423</v>
      </c>
      <c r="I85" s="103">
        <f t="shared" si="8"/>
        <v>2.9847626484897449</v>
      </c>
      <c r="J85" s="103">
        <f t="shared" si="8"/>
        <v>2.1534919217393518</v>
      </c>
      <c r="K85" s="103">
        <f t="shared" si="8"/>
        <v>1.1993244337474207</v>
      </c>
      <c r="L85" s="104">
        <f>(0.161*$P$14)/(($E$55*L73)+(L57*$P$14))</f>
        <v>2.9978281610377508</v>
      </c>
    </row>
    <row r="87" spans="4:12" ht="15" thickBot="1" x14ac:dyDescent="0.35">
      <c r="D87" s="75" t="s">
        <v>181</v>
      </c>
    </row>
    <row r="88" spans="4:12" ht="15" thickBot="1" x14ac:dyDescent="0.35">
      <c r="F88" s="28" t="s">
        <v>62</v>
      </c>
      <c r="G88" s="27" t="s">
        <v>63</v>
      </c>
      <c r="H88" s="27" t="s">
        <v>65</v>
      </c>
      <c r="I88" s="27" t="s">
        <v>64</v>
      </c>
      <c r="J88" s="27" t="s">
        <v>66</v>
      </c>
      <c r="K88" s="27" t="s">
        <v>67</v>
      </c>
      <c r="L88" s="46" t="s">
        <v>109</v>
      </c>
    </row>
    <row r="89" spans="4:12" ht="15" thickBot="1" x14ac:dyDescent="0.35">
      <c r="D89" s="101" t="s">
        <v>186</v>
      </c>
      <c r="E89" s="102"/>
      <c r="F89" s="103">
        <f>1.8*$L$89</f>
        <v>1.26940224</v>
      </c>
      <c r="G89" s="103">
        <f>1.45*$L$89</f>
        <v>1.0225740266666667</v>
      </c>
      <c r="H89" s="103">
        <f>$L$89</f>
        <v>0.70522346666666669</v>
      </c>
      <c r="I89" s="103">
        <f>$L$89</f>
        <v>0.70522346666666669</v>
      </c>
      <c r="J89" s="103">
        <f>$L$89</f>
        <v>0.70522346666666669</v>
      </c>
      <c r="K89" s="103">
        <f>$L$89</f>
        <v>0.70522346666666669</v>
      </c>
      <c r="L89" s="104">
        <f>P18</f>
        <v>0.70522346666666669</v>
      </c>
    </row>
    <row r="91" spans="4:12" ht="15" thickBot="1" x14ac:dyDescent="0.35">
      <c r="K91" s="224" t="s">
        <v>239</v>
      </c>
      <c r="L91" s="224"/>
    </row>
    <row r="92" spans="4:12" ht="15" thickTop="1" x14ac:dyDescent="0.3">
      <c r="K92" s="225" t="s">
        <v>236</v>
      </c>
      <c r="L92" s="226">
        <f>(F85+G85)/(H85+I85)</f>
        <v>1.1262004870012292</v>
      </c>
    </row>
    <row r="93" spans="4:12" x14ac:dyDescent="0.3">
      <c r="K93" s="209"/>
      <c r="L93" s="220"/>
    </row>
    <row r="94" spans="4:12" ht="15" thickBot="1" x14ac:dyDescent="0.35">
      <c r="K94" s="224" t="s">
        <v>238</v>
      </c>
      <c r="L94" s="224"/>
    </row>
    <row r="95" spans="4:12" ht="15" thickTop="1" x14ac:dyDescent="0.3">
      <c r="K95" s="225" t="s">
        <v>237</v>
      </c>
      <c r="L95" s="226">
        <f>(J85+K85)/(H85+I85)</f>
        <v>0.4823061618439462</v>
      </c>
    </row>
    <row r="97" spans="4:12" ht="15" thickBot="1" x14ac:dyDescent="0.35">
      <c r="K97" s="224" t="s">
        <v>240</v>
      </c>
      <c r="L97" s="224"/>
    </row>
    <row r="98" spans="4:12" ht="15" thickTop="1" x14ac:dyDescent="0.3">
      <c r="K98" s="209" t="s">
        <v>232</v>
      </c>
      <c r="L98" s="220">
        <f>10*LOG(EXP(0.05*(340*((Superficie*aST)/(4*Volume))))-1)</f>
        <v>-10.238943836268193</v>
      </c>
    </row>
    <row r="99" spans="4:12" ht="15" thickBot="1" x14ac:dyDescent="0.35">
      <c r="K99" s="222" t="s">
        <v>233</v>
      </c>
      <c r="L99" s="223">
        <f>10*LOG(EXP(0.05*(340*((St*aF)/(4*Volume))))-1)</f>
        <v>-6.141810349165775</v>
      </c>
    </row>
    <row r="100" spans="4:12" ht="15" thickTop="1" x14ac:dyDescent="0.3">
      <c r="K100" s="209" t="s">
        <v>230</v>
      </c>
      <c r="L100" s="220">
        <f>10*LOG(EXP(0.08*(340*((Superficie*aST)/(4*Volume))))-1)</f>
        <v>-8.0776140684754623</v>
      </c>
    </row>
    <row r="101" spans="4:12" ht="15" thickBot="1" x14ac:dyDescent="0.35">
      <c r="K101" s="222" t="s">
        <v>231</v>
      </c>
      <c r="L101" s="223">
        <f>10*LOG(EXP(0.08*(340*((St*aF)/(4*Volume))))-1)</f>
        <v>-3.8037217891061887</v>
      </c>
    </row>
    <row r="102" spans="4:12" ht="15" thickTop="1" x14ac:dyDescent="0.3"/>
    <row r="103" spans="4:12" ht="15" thickBot="1" x14ac:dyDescent="0.35">
      <c r="K103" s="224" t="s">
        <v>243</v>
      </c>
      <c r="L103" s="224"/>
    </row>
    <row r="104" spans="4:12" ht="15" thickTop="1" x14ac:dyDescent="0.3">
      <c r="K104" s="209" t="s">
        <v>234</v>
      </c>
      <c r="L104" s="220">
        <f>1-EXP(-((340*((Superficie*aST)/(4*Volume)))*0.05))</f>
        <v>8.6463265180157789E-2</v>
      </c>
    </row>
    <row r="105" spans="4:12" x14ac:dyDescent="0.3">
      <c r="K105" s="206" t="s">
        <v>235</v>
      </c>
      <c r="L105" s="221">
        <f>1-EXP(-((340*((St*aF)/(4*Volume)))*0.05))</f>
        <v>0.19557180686608333</v>
      </c>
    </row>
    <row r="106" spans="4:12" x14ac:dyDescent="0.3">
      <c r="K106" s="209"/>
      <c r="L106" s="220"/>
    </row>
    <row r="107" spans="4:12" ht="15" thickBot="1" x14ac:dyDescent="0.35">
      <c r="K107" s="224" t="s">
        <v>242</v>
      </c>
      <c r="L107" s="224"/>
    </row>
    <row r="108" spans="4:12" ht="15.6" thickTop="1" thickBot="1" x14ac:dyDescent="0.35">
      <c r="K108" s="225" t="s">
        <v>241</v>
      </c>
      <c r="L108" s="227">
        <v>10</v>
      </c>
    </row>
    <row r="109" spans="4:12" ht="15" thickTop="1" x14ac:dyDescent="0.3">
      <c r="K109" s="225" t="s">
        <v>244</v>
      </c>
      <c r="L109" s="226">
        <f>10*LOG((H85/Volume)+10*LOG(16*PI()*L108^2)/0.161)</f>
        <v>23.615483294520565</v>
      </c>
    </row>
    <row r="110" spans="4:12" ht="15" thickBot="1" x14ac:dyDescent="0.35"/>
    <row r="111" spans="4:12" ht="15" thickBot="1" x14ac:dyDescent="0.35">
      <c r="F111" s="28" t="s">
        <v>62</v>
      </c>
      <c r="G111" s="27" t="s">
        <v>63</v>
      </c>
      <c r="H111" s="27" t="s">
        <v>65</v>
      </c>
      <c r="I111" s="27" t="s">
        <v>64</v>
      </c>
      <c r="J111" s="27" t="s">
        <v>66</v>
      </c>
      <c r="K111" s="27" t="s">
        <v>67</v>
      </c>
      <c r="L111" s="46" t="s">
        <v>69</v>
      </c>
    </row>
    <row r="112" spans="4:12" ht="15" thickBot="1" x14ac:dyDescent="0.35">
      <c r="D112" s="101" t="s">
        <v>117</v>
      </c>
      <c r="E112" s="102"/>
      <c r="F112" s="105">
        <f>(F85-F89)/F89</f>
        <v>2.0617534003922655</v>
      </c>
      <c r="G112" s="105">
        <f t="shared" ref="G112:L112" si="9">(G85-G89)/G89</f>
        <v>2.8553081749443963</v>
      </c>
      <c r="H112" s="105">
        <f t="shared" si="9"/>
        <v>4.6249862012191629</v>
      </c>
      <c r="I112" s="105">
        <f t="shared" si="9"/>
        <v>3.2323643349499216</v>
      </c>
      <c r="J112" s="105">
        <f t="shared" si="9"/>
        <v>2.0536305490770466</v>
      </c>
      <c r="K112" s="105">
        <f t="shared" si="9"/>
        <v>0.70063035397302997</v>
      </c>
      <c r="L112" s="106">
        <f t="shared" si="9"/>
        <v>3.2508911043578679</v>
      </c>
    </row>
  </sheetData>
  <sheetProtection selectLockedCells="1"/>
  <mergeCells count="13">
    <mergeCell ref="K107:L107"/>
    <mergeCell ref="K103:L103"/>
    <mergeCell ref="K91:L91"/>
    <mergeCell ref="K94:L94"/>
    <mergeCell ref="D2:E3"/>
    <mergeCell ref="C10:C13"/>
    <mergeCell ref="C15:C18"/>
    <mergeCell ref="K97:L97"/>
    <mergeCell ref="C47:C50"/>
    <mergeCell ref="C26:C29"/>
    <mergeCell ref="C31:C34"/>
    <mergeCell ref="C42:C45"/>
    <mergeCell ref="P16:Q16"/>
  </mergeCells>
  <dataValidations disablePrompts="1" count="1">
    <dataValidation type="list" allowBlank="1" showInputMessage="1" showErrorMessage="1" sqref="P16" xr:uid="{689181FD-A274-4C77-8884-7AD4C6040CD2}">
      <formula1>$S$10:$S$19</formula1>
    </dataValidation>
  </dataValidations>
  <hyperlinks>
    <hyperlink ref="D5" r:id="rId1" xr:uid="{F72C05DD-237D-4712-A96E-6F1060A7915E}"/>
  </hyperlinks>
  <pageMargins left="0.511811024" right="0.511811024" top="0.78740157499999996" bottom="0.78740157499999996" header="0.31496062000000002" footer="0.31496062000000002"/>
  <pageSetup paperSize="9" orientation="portrait" r:id="rId2"/>
  <ignoredErrors>
    <ignoredError sqref="L77 L57" formulaRange="1"/>
  </ignoredErrors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5994836F-5713-415C-B936-5132E4FB9336}">
          <x14:formula1>
            <xm:f>BASE_M²!$A:$A</xm:f>
          </x14:formula1>
          <xm:sqref>D10:D13 D15:D18 D26:D29 D31:D34 D42:D45 D47:D50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88732-20F0-49F2-95F3-F2581A1C88A9}">
  <dimension ref="A1:H90"/>
  <sheetViews>
    <sheetView workbookViewId="0">
      <selection activeCell="A88" sqref="A88"/>
    </sheetView>
  </sheetViews>
  <sheetFormatPr defaultRowHeight="14.4" x14ac:dyDescent="0.3"/>
  <cols>
    <col min="1" max="1" width="83.33203125" style="68" customWidth="1"/>
    <col min="2" max="4" width="12.109375" style="68" bestFit="1" customWidth="1"/>
    <col min="5" max="7" width="13.21875" style="68" bestFit="1" customWidth="1"/>
    <col min="8" max="8" width="30" style="68" bestFit="1" customWidth="1"/>
    <col min="9" max="16384" width="8.88671875" style="68"/>
  </cols>
  <sheetData>
    <row r="1" spans="1:8" ht="15.6" x14ac:dyDescent="0.3">
      <c r="A1" s="132" t="s">
        <v>0</v>
      </c>
      <c r="B1" s="133" t="s">
        <v>62</v>
      </c>
      <c r="C1" s="134" t="s">
        <v>63</v>
      </c>
      <c r="D1" s="134" t="s">
        <v>65</v>
      </c>
      <c r="E1" s="134" t="s">
        <v>64</v>
      </c>
      <c r="F1" s="134" t="s">
        <v>66</v>
      </c>
      <c r="G1" s="134" t="s">
        <v>67</v>
      </c>
      <c r="H1" s="135" t="s">
        <v>70</v>
      </c>
    </row>
    <row r="2" spans="1:8" x14ac:dyDescent="0.3">
      <c r="A2" s="136" t="s">
        <v>5</v>
      </c>
      <c r="B2" s="126">
        <v>0.05</v>
      </c>
      <c r="C2" s="126">
        <v>0.04</v>
      </c>
      <c r="D2" s="126">
        <v>0.02</v>
      </c>
      <c r="E2" s="126">
        <v>0.04</v>
      </c>
      <c r="F2" s="126">
        <v>0.05</v>
      </c>
      <c r="G2" s="137">
        <v>0.05</v>
      </c>
      <c r="H2" s="138" t="s">
        <v>71</v>
      </c>
    </row>
    <row r="3" spans="1:8" x14ac:dyDescent="0.3">
      <c r="A3" s="139" t="s">
        <v>105</v>
      </c>
      <c r="B3" s="127">
        <v>0.99</v>
      </c>
      <c r="C3" s="127">
        <v>0.99</v>
      </c>
      <c r="D3" s="127">
        <v>0.99</v>
      </c>
      <c r="E3" s="127">
        <v>0.99</v>
      </c>
      <c r="F3" s="127">
        <v>0.99</v>
      </c>
      <c r="G3" s="140">
        <v>0.99</v>
      </c>
      <c r="H3" s="138" t="s">
        <v>36</v>
      </c>
    </row>
    <row r="4" spans="1:8" ht="16.2" x14ac:dyDescent="0.3">
      <c r="A4" s="136" t="s">
        <v>137</v>
      </c>
      <c r="B4" s="125">
        <v>0.44</v>
      </c>
      <c r="C4" s="125">
        <v>0.6</v>
      </c>
      <c r="D4" s="125">
        <v>0.77</v>
      </c>
      <c r="E4" s="125">
        <v>0.89</v>
      </c>
      <c r="F4" s="125">
        <v>0.82</v>
      </c>
      <c r="G4" s="141">
        <v>0.7</v>
      </c>
      <c r="H4" s="138" t="s">
        <v>71</v>
      </c>
    </row>
    <row r="5" spans="1:8" ht="16.2" x14ac:dyDescent="0.3">
      <c r="A5" s="136" t="s">
        <v>138</v>
      </c>
      <c r="B5" s="125">
        <v>0.4</v>
      </c>
      <c r="C5" s="125">
        <v>0.5</v>
      </c>
      <c r="D5" s="126">
        <v>0.57999999999999996</v>
      </c>
      <c r="E5" s="126">
        <v>0.61</v>
      </c>
      <c r="F5" s="126">
        <v>0.57999999999999996</v>
      </c>
      <c r="G5" s="141">
        <v>0.5</v>
      </c>
      <c r="H5" s="138" t="s">
        <v>71</v>
      </c>
    </row>
    <row r="6" spans="1:8" x14ac:dyDescent="0.3">
      <c r="A6" s="139" t="s">
        <v>112</v>
      </c>
      <c r="B6" s="127">
        <v>0.4</v>
      </c>
      <c r="C6" s="127">
        <v>0.3</v>
      </c>
      <c r="D6" s="127">
        <v>0.2</v>
      </c>
      <c r="E6" s="127">
        <v>0.17</v>
      </c>
      <c r="F6" s="127">
        <v>0.15</v>
      </c>
      <c r="G6" s="140">
        <v>0.1</v>
      </c>
      <c r="H6" s="138" t="s">
        <v>114</v>
      </c>
    </row>
    <row r="7" spans="1:8" x14ac:dyDescent="0.3">
      <c r="A7" s="139" t="s">
        <v>113</v>
      </c>
      <c r="B7" s="127">
        <v>0.15</v>
      </c>
      <c r="C7" s="127">
        <v>0.11</v>
      </c>
      <c r="D7" s="127">
        <v>0.1</v>
      </c>
      <c r="E7" s="127">
        <v>7.0000000000000007E-2</v>
      </c>
      <c r="F7" s="127">
        <v>0.06</v>
      </c>
      <c r="G7" s="140">
        <v>7.0000000000000007E-2</v>
      </c>
      <c r="H7" s="138" t="s">
        <v>114</v>
      </c>
    </row>
    <row r="8" spans="1:8" x14ac:dyDescent="0.3">
      <c r="A8" s="136" t="s">
        <v>8</v>
      </c>
      <c r="B8" s="126">
        <v>0.01</v>
      </c>
      <c r="C8" s="126">
        <v>0.01</v>
      </c>
      <c r="D8" s="126">
        <v>0.01</v>
      </c>
      <c r="E8" s="126">
        <v>0.02</v>
      </c>
      <c r="F8" s="126">
        <v>0.02</v>
      </c>
      <c r="G8" s="137">
        <v>0.02</v>
      </c>
      <c r="H8" s="138" t="s">
        <v>71</v>
      </c>
    </row>
    <row r="9" spans="1:8" x14ac:dyDescent="0.3">
      <c r="A9" s="136" t="s">
        <v>4</v>
      </c>
      <c r="B9" s="126">
        <v>0.05</v>
      </c>
      <c r="C9" s="126">
        <v>0.05</v>
      </c>
      <c r="D9" s="126">
        <v>0.05</v>
      </c>
      <c r="E9" s="126">
        <v>0.08</v>
      </c>
      <c r="F9" s="126">
        <v>0.14000000000000001</v>
      </c>
      <c r="G9" s="140">
        <v>0.2</v>
      </c>
      <c r="H9" s="138" t="s">
        <v>71</v>
      </c>
    </row>
    <row r="10" spans="1:8" x14ac:dyDescent="0.3">
      <c r="A10" s="136" t="s">
        <v>30</v>
      </c>
      <c r="B10" s="126">
        <v>0.02</v>
      </c>
      <c r="C10" s="126">
        <v>0.02</v>
      </c>
      <c r="D10" s="126">
        <v>0.04</v>
      </c>
      <c r="E10" s="126">
        <v>0.05</v>
      </c>
      <c r="F10" s="126">
        <v>0.05</v>
      </c>
      <c r="G10" s="141">
        <v>0.1</v>
      </c>
      <c r="H10" s="138" t="s">
        <v>71</v>
      </c>
    </row>
    <row r="11" spans="1:8" x14ac:dyDescent="0.3">
      <c r="A11" s="139" t="s">
        <v>35</v>
      </c>
      <c r="B11" s="127">
        <v>0.02</v>
      </c>
      <c r="C11" s="127">
        <v>0.02</v>
      </c>
      <c r="D11" s="127">
        <v>0.08</v>
      </c>
      <c r="E11" s="127">
        <v>0.14000000000000001</v>
      </c>
      <c r="F11" s="127">
        <v>0.25</v>
      </c>
      <c r="G11" s="140">
        <v>0.25</v>
      </c>
      <c r="H11" s="138" t="s">
        <v>71</v>
      </c>
    </row>
    <row r="12" spans="1:8" x14ac:dyDescent="0.3">
      <c r="A12" s="139" t="s">
        <v>37</v>
      </c>
      <c r="B12" s="127">
        <v>0.02</v>
      </c>
      <c r="C12" s="127">
        <v>0.02</v>
      </c>
      <c r="D12" s="127">
        <v>0.04</v>
      </c>
      <c r="E12" s="127">
        <v>0.08</v>
      </c>
      <c r="F12" s="127">
        <v>0.16</v>
      </c>
      <c r="G12" s="140">
        <v>0.16</v>
      </c>
      <c r="H12" s="138" t="s">
        <v>71</v>
      </c>
    </row>
    <row r="13" spans="1:8" x14ac:dyDescent="0.3">
      <c r="A13" s="136" t="s">
        <v>33</v>
      </c>
      <c r="B13" s="125">
        <v>0.2</v>
      </c>
      <c r="C13" s="125">
        <v>0.25</v>
      </c>
      <c r="D13" s="125">
        <v>0.3</v>
      </c>
      <c r="E13" s="125">
        <v>0.3</v>
      </c>
      <c r="F13" s="125">
        <v>0.3</v>
      </c>
      <c r="G13" s="141">
        <v>0.3</v>
      </c>
      <c r="H13" s="138" t="s">
        <v>71</v>
      </c>
    </row>
    <row r="14" spans="1:8" x14ac:dyDescent="0.3">
      <c r="A14" s="136" t="s">
        <v>32</v>
      </c>
      <c r="B14" s="125">
        <v>0.1</v>
      </c>
      <c r="C14" s="125">
        <v>0.15</v>
      </c>
      <c r="D14" s="125">
        <v>0.25</v>
      </c>
      <c r="E14" s="125">
        <v>0.3</v>
      </c>
      <c r="F14" s="125">
        <v>0.3</v>
      </c>
      <c r="G14" s="141">
        <v>0.3</v>
      </c>
      <c r="H14" s="138" t="s">
        <v>71</v>
      </c>
    </row>
    <row r="15" spans="1:8" x14ac:dyDescent="0.3">
      <c r="A15" s="139" t="s">
        <v>115</v>
      </c>
      <c r="B15" s="127">
        <v>0.18</v>
      </c>
      <c r="C15" s="127">
        <v>0.12</v>
      </c>
      <c r="D15" s="127">
        <v>0.1</v>
      </c>
      <c r="E15" s="127">
        <v>0.09</v>
      </c>
      <c r="F15" s="127">
        <v>0.08</v>
      </c>
      <c r="G15" s="140">
        <v>7.0000000000000007E-2</v>
      </c>
      <c r="H15" s="138" t="s">
        <v>116</v>
      </c>
    </row>
    <row r="16" spans="1:8" x14ac:dyDescent="0.3">
      <c r="A16" s="139" t="s">
        <v>61</v>
      </c>
      <c r="B16" s="127">
        <v>0.5</v>
      </c>
      <c r="C16" s="127">
        <v>0.5</v>
      </c>
      <c r="D16" s="127">
        <v>0.5</v>
      </c>
      <c r="E16" s="127">
        <v>0.5</v>
      </c>
      <c r="F16" s="127">
        <v>0.5</v>
      </c>
      <c r="G16" s="140">
        <v>0.5</v>
      </c>
      <c r="H16" s="138" t="s">
        <v>71</v>
      </c>
    </row>
    <row r="17" spans="1:8" x14ac:dyDescent="0.3">
      <c r="A17" s="139" t="s">
        <v>12</v>
      </c>
      <c r="B17" s="127">
        <v>0.28000000000000003</v>
      </c>
      <c r="C17" s="127">
        <v>0.22</v>
      </c>
      <c r="D17" s="127">
        <v>0.17</v>
      </c>
      <c r="E17" s="127">
        <v>0.1</v>
      </c>
      <c r="F17" s="127">
        <v>0.1</v>
      </c>
      <c r="G17" s="140">
        <v>0.05</v>
      </c>
      <c r="H17" s="138" t="s">
        <v>71</v>
      </c>
    </row>
    <row r="18" spans="1:8" x14ac:dyDescent="0.3">
      <c r="A18" s="136" t="s">
        <v>1</v>
      </c>
      <c r="B18" s="126">
        <v>0.02</v>
      </c>
      <c r="C18" s="126">
        <v>0.03</v>
      </c>
      <c r="D18" s="126">
        <v>0.03</v>
      </c>
      <c r="E18" s="126">
        <v>0.03</v>
      </c>
      <c r="F18" s="126">
        <v>0.04</v>
      </c>
      <c r="G18" s="137">
        <v>7.0000000000000007E-2</v>
      </c>
      <c r="H18" s="138" t="s">
        <v>71</v>
      </c>
    </row>
    <row r="19" spans="1:8" x14ac:dyDescent="0.3">
      <c r="A19" s="136" t="s">
        <v>2</v>
      </c>
      <c r="B19" s="126">
        <v>0.01</v>
      </c>
      <c r="C19" s="126">
        <v>0.01</v>
      </c>
      <c r="D19" s="126">
        <v>0.02</v>
      </c>
      <c r="E19" s="126">
        <v>0.02</v>
      </c>
      <c r="F19" s="126">
        <v>0.02</v>
      </c>
      <c r="G19" s="140">
        <v>0.05</v>
      </c>
      <c r="H19" s="138" t="s">
        <v>71</v>
      </c>
    </row>
    <row r="20" spans="1:8" x14ac:dyDescent="0.3">
      <c r="A20" s="136" t="s">
        <v>3</v>
      </c>
      <c r="B20" s="126">
        <v>0.01</v>
      </c>
      <c r="C20" s="126">
        <v>0.01</v>
      </c>
      <c r="D20" s="126">
        <v>0.01</v>
      </c>
      <c r="E20" s="126">
        <v>0.02</v>
      </c>
      <c r="F20" s="126">
        <v>0.02</v>
      </c>
      <c r="G20" s="140">
        <v>0.02</v>
      </c>
      <c r="H20" s="138" t="s">
        <v>71</v>
      </c>
    </row>
    <row r="21" spans="1:8" x14ac:dyDescent="0.3">
      <c r="A21" s="139" t="s">
        <v>45</v>
      </c>
      <c r="B21" s="127">
        <v>0.14000000000000001</v>
      </c>
      <c r="C21" s="127">
        <v>0.25</v>
      </c>
      <c r="D21" s="127">
        <v>0.4</v>
      </c>
      <c r="E21" s="127">
        <v>0.25</v>
      </c>
      <c r="F21" s="127">
        <v>0.34</v>
      </c>
      <c r="G21" s="140">
        <v>0.34</v>
      </c>
      <c r="H21" s="138" t="s">
        <v>71</v>
      </c>
    </row>
    <row r="22" spans="1:8" x14ac:dyDescent="0.3">
      <c r="A22" s="139" t="s">
        <v>22</v>
      </c>
      <c r="B22" s="127">
        <v>0.04</v>
      </c>
      <c r="C22" s="127">
        <v>0.13</v>
      </c>
      <c r="D22" s="127">
        <v>0.13</v>
      </c>
      <c r="E22" s="127">
        <v>0.5</v>
      </c>
      <c r="F22" s="127">
        <v>0.32</v>
      </c>
      <c r="G22" s="140">
        <v>0.32</v>
      </c>
      <c r="H22" s="138" t="s">
        <v>71</v>
      </c>
    </row>
    <row r="23" spans="1:8" x14ac:dyDescent="0.3">
      <c r="A23" s="139" t="s">
        <v>129</v>
      </c>
      <c r="B23" s="127">
        <v>7.0000000000000007E-2</v>
      </c>
      <c r="C23" s="127">
        <v>0.31</v>
      </c>
      <c r="D23" s="127">
        <v>0.49</v>
      </c>
      <c r="E23" s="127">
        <v>0.75</v>
      </c>
      <c r="F23" s="127">
        <v>0.7</v>
      </c>
      <c r="G23" s="140">
        <v>0.6</v>
      </c>
      <c r="H23" s="138" t="s">
        <v>125</v>
      </c>
    </row>
    <row r="24" spans="1:8" x14ac:dyDescent="0.3">
      <c r="A24" s="139" t="s">
        <v>130</v>
      </c>
      <c r="B24" s="127">
        <v>0.14000000000000001</v>
      </c>
      <c r="C24" s="127">
        <v>0.35</v>
      </c>
      <c r="D24" s="127">
        <v>0.55000000000000004</v>
      </c>
      <c r="E24" s="127">
        <v>0.72</v>
      </c>
      <c r="F24" s="127">
        <v>0.7</v>
      </c>
      <c r="G24" s="140">
        <v>0.65</v>
      </c>
      <c r="H24" s="138" t="s">
        <v>125</v>
      </c>
    </row>
    <row r="25" spans="1:8" x14ac:dyDescent="0.3">
      <c r="A25" s="139" t="s">
        <v>21</v>
      </c>
      <c r="B25" s="126">
        <v>0.05</v>
      </c>
      <c r="C25" s="126">
        <v>0.15</v>
      </c>
      <c r="D25" s="126">
        <v>0.35</v>
      </c>
      <c r="E25" s="125">
        <v>0.4</v>
      </c>
      <c r="F25" s="125">
        <v>0.5</v>
      </c>
      <c r="G25" s="141">
        <v>0.5</v>
      </c>
      <c r="H25" s="138" t="s">
        <v>71</v>
      </c>
    </row>
    <row r="26" spans="1:8" x14ac:dyDescent="0.3">
      <c r="A26" s="136" t="s">
        <v>19</v>
      </c>
      <c r="B26" s="125">
        <v>0.25</v>
      </c>
      <c r="C26" s="125">
        <v>0.5</v>
      </c>
      <c r="D26" s="125">
        <v>0.85</v>
      </c>
      <c r="E26" s="125">
        <v>0.95</v>
      </c>
      <c r="F26" s="125">
        <v>0.9</v>
      </c>
      <c r="G26" s="141">
        <v>0.9</v>
      </c>
      <c r="H26" s="138" t="s">
        <v>71</v>
      </c>
    </row>
    <row r="27" spans="1:8" x14ac:dyDescent="0.3">
      <c r="A27" s="136" t="s">
        <v>20</v>
      </c>
      <c r="B27" s="125">
        <v>0.2</v>
      </c>
      <c r="C27" s="125">
        <v>0.4</v>
      </c>
      <c r="D27" s="125">
        <v>0.65</v>
      </c>
      <c r="E27" s="125">
        <v>0.55000000000000004</v>
      </c>
      <c r="F27" s="125">
        <v>0.7</v>
      </c>
      <c r="G27" s="141">
        <v>0.7</v>
      </c>
      <c r="H27" s="138" t="s">
        <v>71</v>
      </c>
    </row>
    <row r="28" spans="1:8" x14ac:dyDescent="0.3">
      <c r="A28" s="139" t="s">
        <v>44</v>
      </c>
      <c r="B28" s="127">
        <v>0.39</v>
      </c>
      <c r="C28" s="127">
        <v>1.06</v>
      </c>
      <c r="D28" s="127">
        <v>0.91</v>
      </c>
      <c r="E28" s="127">
        <v>0.83</v>
      </c>
      <c r="F28" s="127">
        <v>0.86</v>
      </c>
      <c r="G28" s="140">
        <v>0.78</v>
      </c>
      <c r="H28" s="138" t="s">
        <v>71</v>
      </c>
    </row>
    <row r="29" spans="1:8" x14ac:dyDescent="0.3">
      <c r="A29" s="139" t="s">
        <v>43</v>
      </c>
      <c r="B29" s="127">
        <v>0.21</v>
      </c>
      <c r="C29" s="127">
        <v>0.57999999999999996</v>
      </c>
      <c r="D29" s="127">
        <v>0.7</v>
      </c>
      <c r="E29" s="127">
        <v>0.44</v>
      </c>
      <c r="F29" s="127">
        <v>0.55000000000000004</v>
      </c>
      <c r="G29" s="140">
        <v>0.62</v>
      </c>
      <c r="H29" s="138" t="s">
        <v>71</v>
      </c>
    </row>
    <row r="30" spans="1:8" ht="16.2" x14ac:dyDescent="0.3">
      <c r="A30" s="139" t="s">
        <v>139</v>
      </c>
      <c r="B30" s="127">
        <v>0.35</v>
      </c>
      <c r="C30" s="127">
        <v>0.45</v>
      </c>
      <c r="D30" s="127">
        <v>0.65</v>
      </c>
      <c r="E30" s="127">
        <v>0.8</v>
      </c>
      <c r="F30" s="127">
        <v>0.8</v>
      </c>
      <c r="G30" s="140">
        <v>0.75</v>
      </c>
      <c r="H30" s="138" t="s">
        <v>71</v>
      </c>
    </row>
    <row r="31" spans="1:8" x14ac:dyDescent="0.3">
      <c r="A31" s="136" t="s">
        <v>10</v>
      </c>
      <c r="B31" s="125">
        <v>0.3</v>
      </c>
      <c r="C31" s="125">
        <v>0.12</v>
      </c>
      <c r="D31" s="125">
        <v>0.08</v>
      </c>
      <c r="E31" s="125">
        <v>0.06</v>
      </c>
      <c r="F31" s="125">
        <v>0.06</v>
      </c>
      <c r="G31" s="141">
        <v>0.05</v>
      </c>
      <c r="H31" s="138" t="s">
        <v>71</v>
      </c>
    </row>
    <row r="32" spans="1:8" x14ac:dyDescent="0.3">
      <c r="A32" s="136" t="s">
        <v>9</v>
      </c>
      <c r="B32" s="125">
        <v>0.04</v>
      </c>
      <c r="C32" s="125">
        <v>0.05</v>
      </c>
      <c r="D32" s="125">
        <v>0.06</v>
      </c>
      <c r="E32" s="125">
        <v>0.08</v>
      </c>
      <c r="F32" s="125">
        <v>0.04</v>
      </c>
      <c r="G32" s="140">
        <v>0.06</v>
      </c>
      <c r="H32" s="138" t="s">
        <v>71</v>
      </c>
    </row>
    <row r="33" spans="1:8" ht="16.2" x14ac:dyDescent="0.3">
      <c r="A33" s="136" t="s">
        <v>140</v>
      </c>
      <c r="B33" s="125">
        <v>0.43</v>
      </c>
      <c r="C33" s="125">
        <v>0.86</v>
      </c>
      <c r="D33" s="125">
        <v>1</v>
      </c>
      <c r="E33" s="125">
        <v>1</v>
      </c>
      <c r="F33" s="125">
        <v>1</v>
      </c>
      <c r="G33" s="141">
        <v>1</v>
      </c>
      <c r="H33" s="138" t="s">
        <v>71</v>
      </c>
    </row>
    <row r="34" spans="1:8" ht="16.2" x14ac:dyDescent="0.3">
      <c r="A34" s="136" t="s">
        <v>141</v>
      </c>
      <c r="B34" s="125">
        <v>0.46</v>
      </c>
      <c r="C34" s="125">
        <v>1</v>
      </c>
      <c r="D34" s="125">
        <v>1</v>
      </c>
      <c r="E34" s="125">
        <v>1</v>
      </c>
      <c r="F34" s="125">
        <v>1</v>
      </c>
      <c r="G34" s="141">
        <v>1</v>
      </c>
      <c r="H34" s="138" t="s">
        <v>71</v>
      </c>
    </row>
    <row r="35" spans="1:8" ht="16.2" x14ac:dyDescent="0.3">
      <c r="A35" s="136" t="s">
        <v>142</v>
      </c>
      <c r="B35" s="125">
        <v>0.53</v>
      </c>
      <c r="C35" s="125">
        <v>0.92</v>
      </c>
      <c r="D35" s="125">
        <v>1</v>
      </c>
      <c r="E35" s="125">
        <v>1</v>
      </c>
      <c r="F35" s="125">
        <v>1</v>
      </c>
      <c r="G35" s="141">
        <v>1</v>
      </c>
      <c r="H35" s="138" t="s">
        <v>71</v>
      </c>
    </row>
    <row r="36" spans="1:8" ht="16.2" x14ac:dyDescent="0.3">
      <c r="A36" s="136" t="s">
        <v>143</v>
      </c>
      <c r="B36" s="125">
        <v>0.65</v>
      </c>
      <c r="C36" s="125">
        <v>1</v>
      </c>
      <c r="D36" s="125">
        <v>1</v>
      </c>
      <c r="E36" s="125">
        <v>1</v>
      </c>
      <c r="F36" s="125">
        <v>1</v>
      </c>
      <c r="G36" s="141">
        <v>1</v>
      </c>
      <c r="H36" s="138" t="s">
        <v>71</v>
      </c>
    </row>
    <row r="37" spans="1:8" ht="16.2" x14ac:dyDescent="0.3">
      <c r="A37" s="136" t="s">
        <v>144</v>
      </c>
      <c r="B37" s="125">
        <v>0.12</v>
      </c>
      <c r="C37" s="125">
        <v>0.28000000000000003</v>
      </c>
      <c r="D37" s="125">
        <v>0.55000000000000004</v>
      </c>
      <c r="E37" s="125">
        <v>0.71</v>
      </c>
      <c r="F37" s="125">
        <v>0.74</v>
      </c>
      <c r="G37" s="141">
        <v>0.83</v>
      </c>
      <c r="H37" s="138" t="s">
        <v>71</v>
      </c>
    </row>
    <row r="38" spans="1:8" ht="16.2" x14ac:dyDescent="0.3">
      <c r="A38" s="136" t="s">
        <v>145</v>
      </c>
      <c r="B38" s="125">
        <v>0.11</v>
      </c>
      <c r="C38" s="125">
        <v>0.32</v>
      </c>
      <c r="D38" s="125">
        <v>0.56000000000000005</v>
      </c>
      <c r="E38" s="125">
        <v>0.77</v>
      </c>
      <c r="F38" s="125">
        <v>0.89</v>
      </c>
      <c r="G38" s="141">
        <v>0.91</v>
      </c>
      <c r="H38" s="138" t="s">
        <v>71</v>
      </c>
    </row>
    <row r="39" spans="1:8" ht="16.2" x14ac:dyDescent="0.3">
      <c r="A39" s="136" t="s">
        <v>146</v>
      </c>
      <c r="B39" s="125">
        <v>0.17</v>
      </c>
      <c r="C39" s="125">
        <v>0.45</v>
      </c>
      <c r="D39" s="125">
        <v>0.8</v>
      </c>
      <c r="E39" s="125">
        <v>0.89</v>
      </c>
      <c r="F39" s="125">
        <v>0.97</v>
      </c>
      <c r="G39" s="141">
        <v>0.94</v>
      </c>
      <c r="H39" s="138" t="s">
        <v>71</v>
      </c>
    </row>
    <row r="40" spans="1:8" ht="16.2" x14ac:dyDescent="0.3">
      <c r="A40" s="136" t="s">
        <v>147</v>
      </c>
      <c r="B40" s="125">
        <v>0.27</v>
      </c>
      <c r="C40" s="125">
        <v>0.54</v>
      </c>
      <c r="D40" s="125">
        <v>0.94</v>
      </c>
      <c r="E40" s="125">
        <v>1</v>
      </c>
      <c r="F40" s="125">
        <v>0.96</v>
      </c>
      <c r="G40" s="141">
        <v>0.96</v>
      </c>
      <c r="H40" s="138" t="s">
        <v>71</v>
      </c>
    </row>
    <row r="41" spans="1:8" ht="16.2" x14ac:dyDescent="0.3">
      <c r="A41" s="136" t="s">
        <v>148</v>
      </c>
      <c r="B41" s="125">
        <v>0.2</v>
      </c>
      <c r="C41" s="125">
        <v>0.55000000000000004</v>
      </c>
      <c r="D41" s="125">
        <v>1</v>
      </c>
      <c r="E41" s="125">
        <v>1</v>
      </c>
      <c r="F41" s="125">
        <v>1</v>
      </c>
      <c r="G41" s="141">
        <v>1</v>
      </c>
      <c r="H41" s="138" t="s">
        <v>71</v>
      </c>
    </row>
    <row r="42" spans="1:8" ht="16.2" x14ac:dyDescent="0.3">
      <c r="A42" s="136" t="s">
        <v>149</v>
      </c>
      <c r="B42" s="125">
        <v>0.3</v>
      </c>
      <c r="C42" s="125">
        <v>0.8</v>
      </c>
      <c r="D42" s="125">
        <v>1</v>
      </c>
      <c r="E42" s="125">
        <v>1</v>
      </c>
      <c r="F42" s="125">
        <v>1</v>
      </c>
      <c r="G42" s="141">
        <v>1</v>
      </c>
      <c r="H42" s="138" t="s">
        <v>71</v>
      </c>
    </row>
    <row r="43" spans="1:8" ht="16.2" x14ac:dyDescent="0.3">
      <c r="A43" s="136" t="s">
        <v>150</v>
      </c>
      <c r="B43" s="125">
        <v>0.3</v>
      </c>
      <c r="C43" s="125">
        <v>0.69</v>
      </c>
      <c r="D43" s="125">
        <v>0.94</v>
      </c>
      <c r="E43" s="125">
        <v>1</v>
      </c>
      <c r="F43" s="125">
        <v>1</v>
      </c>
      <c r="G43" s="141">
        <v>1</v>
      </c>
      <c r="H43" s="138" t="s">
        <v>71</v>
      </c>
    </row>
    <row r="44" spans="1:8" ht="16.2" x14ac:dyDescent="0.3">
      <c r="A44" s="136" t="s">
        <v>151</v>
      </c>
      <c r="B44" s="125">
        <v>0.28000000000000003</v>
      </c>
      <c r="C44" s="125">
        <v>0.79</v>
      </c>
      <c r="D44" s="125">
        <v>1</v>
      </c>
      <c r="E44" s="125">
        <v>1</v>
      </c>
      <c r="F44" s="125">
        <v>1</v>
      </c>
      <c r="G44" s="141">
        <v>1</v>
      </c>
      <c r="H44" s="138" t="s">
        <v>71</v>
      </c>
    </row>
    <row r="45" spans="1:8" ht="16.2" x14ac:dyDescent="0.3">
      <c r="A45" s="136" t="s">
        <v>152</v>
      </c>
      <c r="B45" s="125">
        <v>0.37</v>
      </c>
      <c r="C45" s="125">
        <v>0.85</v>
      </c>
      <c r="D45" s="125">
        <v>1</v>
      </c>
      <c r="E45" s="125">
        <v>1</v>
      </c>
      <c r="F45" s="125">
        <v>1</v>
      </c>
      <c r="G45" s="141">
        <v>1</v>
      </c>
      <c r="H45" s="138" t="s">
        <v>71</v>
      </c>
    </row>
    <row r="46" spans="1:8" ht="16.2" x14ac:dyDescent="0.3">
      <c r="A46" s="136" t="s">
        <v>153</v>
      </c>
      <c r="B46" s="125">
        <v>0.43</v>
      </c>
      <c r="C46" s="125">
        <v>0.97</v>
      </c>
      <c r="D46" s="125">
        <v>1</v>
      </c>
      <c r="E46" s="125">
        <v>1</v>
      </c>
      <c r="F46" s="125">
        <v>1</v>
      </c>
      <c r="G46" s="141">
        <v>1</v>
      </c>
      <c r="H46" s="138" t="s">
        <v>71</v>
      </c>
    </row>
    <row r="47" spans="1:8" x14ac:dyDescent="0.3">
      <c r="A47" s="136" t="s">
        <v>29</v>
      </c>
      <c r="B47" s="126">
        <v>0.02</v>
      </c>
      <c r="C47" s="126">
        <v>0.02</v>
      </c>
      <c r="D47" s="126">
        <v>0.03</v>
      </c>
      <c r="E47" s="126">
        <v>0.04</v>
      </c>
      <c r="F47" s="126">
        <v>0.04</v>
      </c>
      <c r="G47" s="137">
        <v>0.05</v>
      </c>
      <c r="H47" s="138" t="s">
        <v>71</v>
      </c>
    </row>
    <row r="48" spans="1:8" x14ac:dyDescent="0.3">
      <c r="A48" s="136" t="s">
        <v>13</v>
      </c>
      <c r="B48" s="126">
        <v>0.35</v>
      </c>
      <c r="C48" s="125">
        <v>0.2</v>
      </c>
      <c r="D48" s="126">
        <v>0.15</v>
      </c>
      <c r="E48" s="125">
        <v>0.1</v>
      </c>
      <c r="F48" s="126">
        <v>0.05</v>
      </c>
      <c r="G48" s="137">
        <v>0.05</v>
      </c>
      <c r="H48" s="138" t="s">
        <v>71</v>
      </c>
    </row>
    <row r="49" spans="1:8" ht="28.8" x14ac:dyDescent="0.3">
      <c r="A49" s="136" t="s">
        <v>14</v>
      </c>
      <c r="B49" s="125">
        <v>0.4</v>
      </c>
      <c r="C49" s="125">
        <v>0.2</v>
      </c>
      <c r="D49" s="125">
        <v>0.15</v>
      </c>
      <c r="E49" s="125">
        <v>0.1</v>
      </c>
      <c r="F49" s="125">
        <v>0.1</v>
      </c>
      <c r="G49" s="141">
        <v>0.05</v>
      </c>
      <c r="H49" s="138" t="s">
        <v>71</v>
      </c>
    </row>
    <row r="50" spans="1:8" x14ac:dyDescent="0.3">
      <c r="A50" s="136" t="s">
        <v>15</v>
      </c>
      <c r="B50" s="125">
        <v>0.3</v>
      </c>
      <c r="C50" s="125">
        <v>0.2</v>
      </c>
      <c r="D50" s="126">
        <v>0.15</v>
      </c>
      <c r="E50" s="125">
        <v>0.1</v>
      </c>
      <c r="F50" s="125">
        <v>0.1</v>
      </c>
      <c r="G50" s="137">
        <v>0.05</v>
      </c>
      <c r="H50" s="138" t="s">
        <v>71</v>
      </c>
    </row>
    <row r="51" spans="1:8" ht="28.8" x14ac:dyDescent="0.3">
      <c r="A51" s="136" t="s">
        <v>16</v>
      </c>
      <c r="B51" s="125">
        <v>0.4</v>
      </c>
      <c r="C51" s="126">
        <v>0.25</v>
      </c>
      <c r="D51" s="126">
        <v>0.15</v>
      </c>
      <c r="E51" s="125">
        <v>0.1</v>
      </c>
      <c r="F51" s="125">
        <v>0.1</v>
      </c>
      <c r="G51" s="137">
        <v>0.05</v>
      </c>
      <c r="H51" s="138" t="s">
        <v>71</v>
      </c>
    </row>
    <row r="52" spans="1:8" x14ac:dyDescent="0.3">
      <c r="A52" s="136" t="s">
        <v>17</v>
      </c>
      <c r="B52" s="126">
        <v>0.19</v>
      </c>
      <c r="C52" s="126">
        <v>0.23</v>
      </c>
      <c r="D52" s="126">
        <v>0.25</v>
      </c>
      <c r="E52" s="125">
        <v>0.3</v>
      </c>
      <c r="F52" s="126">
        <v>0.37</v>
      </c>
      <c r="G52" s="137">
        <v>0.42</v>
      </c>
      <c r="H52" s="138" t="s">
        <v>71</v>
      </c>
    </row>
    <row r="53" spans="1:8" x14ac:dyDescent="0.3">
      <c r="A53" s="139" t="s">
        <v>23</v>
      </c>
      <c r="B53" s="127">
        <v>0.01</v>
      </c>
      <c r="C53" s="127">
        <v>0.01</v>
      </c>
      <c r="D53" s="127">
        <v>0.01</v>
      </c>
      <c r="E53" s="127">
        <v>0.01</v>
      </c>
      <c r="F53" s="127">
        <v>0.02</v>
      </c>
      <c r="G53" s="140">
        <v>0.02</v>
      </c>
      <c r="H53" s="138" t="s">
        <v>71</v>
      </c>
    </row>
    <row r="54" spans="1:8" x14ac:dyDescent="0.3">
      <c r="A54" s="139" t="s">
        <v>40</v>
      </c>
      <c r="B54" s="127">
        <v>0.02</v>
      </c>
      <c r="C54" s="127">
        <v>0.04</v>
      </c>
      <c r="D54" s="127">
        <v>0.08</v>
      </c>
      <c r="E54" s="127">
        <v>0.18</v>
      </c>
      <c r="F54" s="127">
        <v>0.28000000000000003</v>
      </c>
      <c r="G54" s="140">
        <v>0.28000000000000003</v>
      </c>
      <c r="H54" s="138" t="s">
        <v>71</v>
      </c>
    </row>
    <row r="55" spans="1:8" x14ac:dyDescent="0.3">
      <c r="A55" s="136" t="s">
        <v>154</v>
      </c>
      <c r="B55" s="125">
        <v>0.18</v>
      </c>
      <c r="C55" s="125">
        <v>0.34</v>
      </c>
      <c r="D55" s="125">
        <v>0.42</v>
      </c>
      <c r="E55" s="125">
        <v>0.59</v>
      </c>
      <c r="F55" s="125">
        <v>0.83</v>
      </c>
      <c r="G55" s="141">
        <v>0.68</v>
      </c>
      <c r="H55" s="138" t="s">
        <v>71</v>
      </c>
    </row>
    <row r="56" spans="1:8" x14ac:dyDescent="0.3">
      <c r="A56" s="139" t="s">
        <v>42</v>
      </c>
      <c r="B56" s="127">
        <v>0.28999999999999998</v>
      </c>
      <c r="C56" s="127">
        <v>0.1</v>
      </c>
      <c r="D56" s="127">
        <v>0.05</v>
      </c>
      <c r="E56" s="127">
        <v>0.04</v>
      </c>
      <c r="F56" s="127">
        <v>7.0000000000000007E-2</v>
      </c>
      <c r="G56" s="140">
        <v>0.1</v>
      </c>
      <c r="H56" s="138" t="s">
        <v>71</v>
      </c>
    </row>
    <row r="57" spans="1:8" x14ac:dyDescent="0.3">
      <c r="A57" s="136" t="s">
        <v>27</v>
      </c>
      <c r="B57" s="126">
        <v>0.04</v>
      </c>
      <c r="C57" s="126">
        <v>0.04</v>
      </c>
      <c r="D57" s="126">
        <v>7.0000000000000007E-2</v>
      </c>
      <c r="E57" s="126">
        <v>0.06</v>
      </c>
      <c r="F57" s="126">
        <v>0.06</v>
      </c>
      <c r="G57" s="137">
        <v>7.0000000000000007E-2</v>
      </c>
      <c r="H57" s="138" t="s">
        <v>71</v>
      </c>
    </row>
    <row r="58" spans="1:8" x14ac:dyDescent="0.3">
      <c r="A58" s="136" t="s">
        <v>28</v>
      </c>
      <c r="B58" s="125">
        <v>0.2</v>
      </c>
      <c r="C58" s="125">
        <v>0.15</v>
      </c>
      <c r="D58" s="125">
        <v>0.1</v>
      </c>
      <c r="E58" s="125">
        <v>0.1</v>
      </c>
      <c r="F58" s="125">
        <v>0.05</v>
      </c>
      <c r="G58" s="141">
        <v>0.1</v>
      </c>
      <c r="H58" s="138" t="s">
        <v>71</v>
      </c>
    </row>
    <row r="59" spans="1:8" x14ac:dyDescent="0.3">
      <c r="A59" s="139" t="s">
        <v>41</v>
      </c>
      <c r="B59" s="127">
        <v>0.01</v>
      </c>
      <c r="C59" s="127">
        <v>0.01</v>
      </c>
      <c r="D59" s="127">
        <v>0.01</v>
      </c>
      <c r="E59" s="127">
        <v>0.02</v>
      </c>
      <c r="F59" s="127">
        <v>0.02</v>
      </c>
      <c r="G59" s="140">
        <v>0.02</v>
      </c>
      <c r="H59" s="138" t="s">
        <v>71</v>
      </c>
    </row>
    <row r="60" spans="1:8" x14ac:dyDescent="0.3">
      <c r="A60" s="136" t="s">
        <v>34</v>
      </c>
      <c r="B60" s="126">
        <v>0.05</v>
      </c>
      <c r="C60" s="126">
        <v>0.05</v>
      </c>
      <c r="D60" s="125">
        <v>0.1</v>
      </c>
      <c r="E60" s="125">
        <v>0.1</v>
      </c>
      <c r="F60" s="126">
        <v>0.05</v>
      </c>
      <c r="G60" s="137">
        <v>0.05</v>
      </c>
      <c r="H60" s="138" t="s">
        <v>71</v>
      </c>
    </row>
    <row r="61" spans="1:8" ht="28.8" x14ac:dyDescent="0.3">
      <c r="A61" s="136" t="s">
        <v>25</v>
      </c>
      <c r="B61" s="126">
        <v>0.27</v>
      </c>
      <c r="C61" s="126">
        <v>0.26</v>
      </c>
      <c r="D61" s="126">
        <v>0.52</v>
      </c>
      <c r="E61" s="126">
        <v>0.43</v>
      </c>
      <c r="F61" s="126">
        <v>0.51</v>
      </c>
      <c r="G61" s="137">
        <v>0.57999999999999996</v>
      </c>
      <c r="H61" s="138" t="s">
        <v>71</v>
      </c>
    </row>
    <row r="62" spans="1:8" ht="28.8" x14ac:dyDescent="0.3">
      <c r="A62" s="136" t="s">
        <v>24</v>
      </c>
      <c r="B62" s="126">
        <v>0.08</v>
      </c>
      <c r="C62" s="126">
        <v>7.0000000000000007E-2</v>
      </c>
      <c r="D62" s="126">
        <v>0.06</v>
      </c>
      <c r="E62" s="126">
        <v>7.0000000000000007E-2</v>
      </c>
      <c r="F62" s="126">
        <v>0.08</v>
      </c>
      <c r="G62" s="137">
        <v>0.08</v>
      </c>
      <c r="H62" s="138" t="s">
        <v>71</v>
      </c>
    </row>
    <row r="63" spans="1:8" x14ac:dyDescent="0.3">
      <c r="A63" s="136" t="s">
        <v>26</v>
      </c>
      <c r="B63" s="126">
        <v>0.15</v>
      </c>
      <c r="C63" s="126">
        <v>0.11</v>
      </c>
      <c r="D63" s="125">
        <v>0.1</v>
      </c>
      <c r="E63" s="126">
        <v>7.0000000000000007E-2</v>
      </c>
      <c r="F63" s="126">
        <v>0.06</v>
      </c>
      <c r="G63" s="137">
        <v>7.0000000000000007E-2</v>
      </c>
      <c r="H63" s="138" t="s">
        <v>71</v>
      </c>
    </row>
    <row r="64" spans="1:8" x14ac:dyDescent="0.3">
      <c r="A64" s="139" t="s">
        <v>47</v>
      </c>
      <c r="B64" s="126">
        <v>0.49</v>
      </c>
      <c r="C64" s="126">
        <v>0.66</v>
      </c>
      <c r="D64" s="125">
        <v>0.8</v>
      </c>
      <c r="E64" s="126">
        <v>0.88</v>
      </c>
      <c r="F64" s="126">
        <v>0.82</v>
      </c>
      <c r="G64" s="141">
        <v>0.7</v>
      </c>
      <c r="H64" s="138" t="s">
        <v>71</v>
      </c>
    </row>
    <row r="65" spans="1:8" ht="16.2" x14ac:dyDescent="0.3">
      <c r="A65" s="139" t="s">
        <v>155</v>
      </c>
      <c r="B65" s="125">
        <v>7.0000000000000007E-2</v>
      </c>
      <c r="C65" s="125">
        <v>0.11</v>
      </c>
      <c r="D65" s="125">
        <v>0.34</v>
      </c>
      <c r="E65" s="125">
        <v>0.61</v>
      </c>
      <c r="F65" s="125">
        <v>0.75</v>
      </c>
      <c r="G65" s="141">
        <v>0.81</v>
      </c>
      <c r="H65" s="138" t="s">
        <v>71</v>
      </c>
    </row>
    <row r="66" spans="1:8" ht="16.2" x14ac:dyDescent="0.3">
      <c r="A66" s="139" t="s">
        <v>156</v>
      </c>
      <c r="B66" s="125">
        <v>0.09</v>
      </c>
      <c r="C66" s="125">
        <v>0.17</v>
      </c>
      <c r="D66" s="125">
        <v>0.52</v>
      </c>
      <c r="E66" s="125">
        <v>0.74</v>
      </c>
      <c r="F66" s="125">
        <v>0.87</v>
      </c>
      <c r="G66" s="141">
        <v>0.92</v>
      </c>
      <c r="H66" s="138" t="s">
        <v>71</v>
      </c>
    </row>
    <row r="67" spans="1:8" ht="16.2" x14ac:dyDescent="0.3">
      <c r="A67" s="139" t="s">
        <v>157</v>
      </c>
      <c r="B67" s="125">
        <v>0.11</v>
      </c>
      <c r="C67" s="125">
        <v>0.23</v>
      </c>
      <c r="D67" s="125">
        <v>0.66</v>
      </c>
      <c r="E67" s="125">
        <v>0.98</v>
      </c>
      <c r="F67" s="125">
        <v>0.97</v>
      </c>
      <c r="G67" s="141">
        <v>0.97</v>
      </c>
      <c r="H67" s="138" t="s">
        <v>71</v>
      </c>
    </row>
    <row r="68" spans="1:8" ht="16.2" x14ac:dyDescent="0.3">
      <c r="A68" s="139" t="s">
        <v>158</v>
      </c>
      <c r="B68" s="127">
        <v>0.06</v>
      </c>
      <c r="C68" s="127">
        <v>0.15</v>
      </c>
      <c r="D68" s="127">
        <v>0.49</v>
      </c>
      <c r="E68" s="127">
        <v>0.76</v>
      </c>
      <c r="F68" s="127">
        <v>0.86</v>
      </c>
      <c r="G68" s="141">
        <v>0.97</v>
      </c>
      <c r="H68" s="138" t="s">
        <v>71</v>
      </c>
    </row>
    <row r="69" spans="1:8" ht="16.2" x14ac:dyDescent="0.3">
      <c r="A69" s="139" t="s">
        <v>159</v>
      </c>
      <c r="B69" s="125">
        <v>0.04</v>
      </c>
      <c r="C69" s="125">
        <v>0.15</v>
      </c>
      <c r="D69" s="125">
        <v>0.49</v>
      </c>
      <c r="E69" s="125">
        <v>0.73</v>
      </c>
      <c r="F69" s="125">
        <v>0.83</v>
      </c>
      <c r="G69" s="141">
        <v>0.9</v>
      </c>
      <c r="H69" s="138" t="s">
        <v>71</v>
      </c>
    </row>
    <row r="70" spans="1:8" ht="16.2" x14ac:dyDescent="0.3">
      <c r="A70" s="139" t="s">
        <v>160</v>
      </c>
      <c r="B70" s="125">
        <v>0.06</v>
      </c>
      <c r="C70" s="125">
        <v>0.21</v>
      </c>
      <c r="D70" s="125">
        <v>0.61</v>
      </c>
      <c r="E70" s="125">
        <v>0.82</v>
      </c>
      <c r="F70" s="125">
        <v>0.88</v>
      </c>
      <c r="G70" s="141">
        <v>0.96</v>
      </c>
      <c r="H70" s="138" t="s">
        <v>71</v>
      </c>
    </row>
    <row r="71" spans="1:8" ht="16.2" x14ac:dyDescent="0.3">
      <c r="A71" s="139" t="s">
        <v>161</v>
      </c>
      <c r="B71" s="125">
        <v>0.08</v>
      </c>
      <c r="C71" s="125">
        <v>0.31</v>
      </c>
      <c r="D71" s="125">
        <v>0.7</v>
      </c>
      <c r="E71" s="125">
        <v>0.88</v>
      </c>
      <c r="F71" s="125">
        <v>0.91</v>
      </c>
      <c r="G71" s="141">
        <v>0.98</v>
      </c>
      <c r="H71" s="138" t="s">
        <v>71</v>
      </c>
    </row>
    <row r="72" spans="1:8" ht="16.2" x14ac:dyDescent="0.3">
      <c r="A72" s="139" t="s">
        <v>162</v>
      </c>
      <c r="B72" s="125">
        <v>0.1</v>
      </c>
      <c r="C72" s="125">
        <v>0.37</v>
      </c>
      <c r="D72" s="125">
        <v>0.76</v>
      </c>
      <c r="E72" s="125">
        <v>0.93</v>
      </c>
      <c r="F72" s="125">
        <v>0.94</v>
      </c>
      <c r="G72" s="141">
        <v>0.98</v>
      </c>
      <c r="H72" s="138" t="s">
        <v>71</v>
      </c>
    </row>
    <row r="73" spans="1:8" ht="16.2" x14ac:dyDescent="0.3">
      <c r="A73" s="139" t="s">
        <v>163</v>
      </c>
      <c r="B73" s="125">
        <v>0.12</v>
      </c>
      <c r="C73" s="125">
        <v>0.45</v>
      </c>
      <c r="D73" s="125">
        <v>0.88</v>
      </c>
      <c r="E73" s="125">
        <v>0.96</v>
      </c>
      <c r="F73" s="125">
        <v>0.97</v>
      </c>
      <c r="G73" s="141">
        <v>0.99</v>
      </c>
      <c r="H73" s="138" t="s">
        <v>71</v>
      </c>
    </row>
    <row r="74" spans="1:8" x14ac:dyDescent="0.3">
      <c r="A74" s="136" t="s">
        <v>73</v>
      </c>
      <c r="B74" s="126">
        <v>0.02</v>
      </c>
      <c r="C74" s="126">
        <v>0.04</v>
      </c>
      <c r="D74" s="126">
        <v>0.05</v>
      </c>
      <c r="E74" s="126">
        <v>0.05</v>
      </c>
      <c r="F74" s="125">
        <v>0.1</v>
      </c>
      <c r="G74" s="137">
        <v>0.05</v>
      </c>
      <c r="H74" s="138" t="s">
        <v>71</v>
      </c>
    </row>
    <row r="75" spans="1:8" x14ac:dyDescent="0.3">
      <c r="A75" s="136" t="s">
        <v>18</v>
      </c>
      <c r="B75" s="125">
        <v>0.1</v>
      </c>
      <c r="C75" s="125">
        <v>0.25</v>
      </c>
      <c r="D75" s="125">
        <v>0.55000000000000004</v>
      </c>
      <c r="E75" s="125">
        <v>0.7</v>
      </c>
      <c r="F75" s="125">
        <v>0.8</v>
      </c>
      <c r="G75" s="141">
        <v>0.85</v>
      </c>
      <c r="H75" s="138" t="s">
        <v>71</v>
      </c>
    </row>
    <row r="76" spans="1:8" ht="16.2" x14ac:dyDescent="0.3">
      <c r="A76" s="136" t="s">
        <v>164</v>
      </c>
      <c r="B76" s="126">
        <v>0.14000000000000001</v>
      </c>
      <c r="C76" s="125">
        <v>0.1</v>
      </c>
      <c r="D76" s="126">
        <v>0.06</v>
      </c>
      <c r="E76" s="125">
        <v>0.08</v>
      </c>
      <c r="F76" s="125">
        <v>0.1</v>
      </c>
      <c r="G76" s="141">
        <v>0.1</v>
      </c>
      <c r="H76" s="138" t="s">
        <v>71</v>
      </c>
    </row>
    <row r="77" spans="1:8" ht="16.2" x14ac:dyDescent="0.3">
      <c r="A77" s="136" t="s">
        <v>165</v>
      </c>
      <c r="B77" s="125">
        <v>0.3</v>
      </c>
      <c r="C77" s="125">
        <v>0.25</v>
      </c>
      <c r="D77" s="125">
        <v>0.15</v>
      </c>
      <c r="E77" s="125">
        <v>0.1</v>
      </c>
      <c r="F77" s="125">
        <v>0.1</v>
      </c>
      <c r="G77" s="141">
        <v>7.0000000000000007E-2</v>
      </c>
      <c r="H77" s="138" t="s">
        <v>71</v>
      </c>
    </row>
    <row r="78" spans="1:8" ht="16.2" x14ac:dyDescent="0.3">
      <c r="A78" s="139" t="s">
        <v>166</v>
      </c>
      <c r="B78" s="127">
        <v>0.14000000000000001</v>
      </c>
      <c r="C78" s="127">
        <v>0.16</v>
      </c>
      <c r="D78" s="127">
        <v>0.06</v>
      </c>
      <c r="E78" s="127">
        <v>0.1</v>
      </c>
      <c r="F78" s="127">
        <v>0.1</v>
      </c>
      <c r="G78" s="140">
        <v>0.1</v>
      </c>
      <c r="H78" s="138" t="s">
        <v>71</v>
      </c>
    </row>
    <row r="79" spans="1:8" x14ac:dyDescent="0.3">
      <c r="A79" s="142" t="s">
        <v>6</v>
      </c>
      <c r="B79" s="143">
        <v>0.03</v>
      </c>
      <c r="C79" s="143">
        <v>0.03</v>
      </c>
      <c r="D79" s="143">
        <v>0.03</v>
      </c>
      <c r="E79" s="143">
        <v>0.03</v>
      </c>
      <c r="F79" s="143">
        <v>0.04</v>
      </c>
      <c r="G79" s="144">
        <v>7.0000000000000007E-2</v>
      </c>
      <c r="H79" s="138" t="s">
        <v>71</v>
      </c>
    </row>
    <row r="80" spans="1:8" x14ac:dyDescent="0.3">
      <c r="A80" s="142" t="s">
        <v>7</v>
      </c>
      <c r="B80" s="143">
        <v>0.02</v>
      </c>
      <c r="C80" s="143">
        <v>0.02</v>
      </c>
      <c r="D80" s="143">
        <v>0.02</v>
      </c>
      <c r="E80" s="143">
        <v>0.02</v>
      </c>
      <c r="F80" s="143">
        <v>0.03</v>
      </c>
      <c r="G80" s="144">
        <v>0.06</v>
      </c>
      <c r="H80" s="127" t="s">
        <v>71</v>
      </c>
    </row>
    <row r="81" spans="1:8" x14ac:dyDescent="0.3">
      <c r="A81" s="142" t="s">
        <v>31</v>
      </c>
      <c r="B81" s="143">
        <v>0.04</v>
      </c>
      <c r="C81" s="143">
        <v>0.04</v>
      </c>
      <c r="D81" s="143">
        <v>0.06</v>
      </c>
      <c r="E81" s="143">
        <v>0.12</v>
      </c>
      <c r="F81" s="143">
        <v>0.1</v>
      </c>
      <c r="G81" s="144">
        <v>0.1</v>
      </c>
      <c r="H81" s="127" t="s">
        <v>71</v>
      </c>
    </row>
    <row r="82" spans="1:8" x14ac:dyDescent="0.3">
      <c r="A82" s="142" t="s">
        <v>38</v>
      </c>
      <c r="B82" s="143">
        <v>0.03</v>
      </c>
      <c r="C82" s="143">
        <v>0.03</v>
      </c>
      <c r="D82" s="143">
        <v>0.04</v>
      </c>
      <c r="E82" s="143">
        <v>0.1</v>
      </c>
      <c r="F82" s="143">
        <v>0.19</v>
      </c>
      <c r="G82" s="144">
        <v>0.19</v>
      </c>
      <c r="H82" s="127" t="s">
        <v>71</v>
      </c>
    </row>
    <row r="83" spans="1:8" x14ac:dyDescent="0.3">
      <c r="A83" s="142" t="s">
        <v>39</v>
      </c>
      <c r="B83" s="143">
        <v>0.05</v>
      </c>
      <c r="C83" s="143">
        <v>0.06</v>
      </c>
      <c r="D83" s="143">
        <v>0.1</v>
      </c>
      <c r="E83" s="143">
        <v>0.24</v>
      </c>
      <c r="F83" s="143">
        <v>0.42</v>
      </c>
      <c r="G83" s="144">
        <v>0.42</v>
      </c>
      <c r="H83" s="127" t="s">
        <v>71</v>
      </c>
    </row>
    <row r="84" spans="1:8" x14ac:dyDescent="0.3">
      <c r="A84" s="142" t="s">
        <v>106</v>
      </c>
      <c r="B84" s="143">
        <v>0.05</v>
      </c>
      <c r="C84" s="143">
        <v>0.22</v>
      </c>
      <c r="D84" s="143">
        <v>0.28000000000000003</v>
      </c>
      <c r="E84" s="143">
        <v>0.15</v>
      </c>
      <c r="F84" s="143">
        <v>0.12</v>
      </c>
      <c r="G84" s="144">
        <v>0.18</v>
      </c>
      <c r="H84" s="127" t="s">
        <v>107</v>
      </c>
    </row>
    <row r="85" spans="1:8" x14ac:dyDescent="0.3">
      <c r="A85" s="142" t="s">
        <v>11</v>
      </c>
      <c r="B85" s="143">
        <v>0.04</v>
      </c>
      <c r="C85" s="143">
        <v>0.04</v>
      </c>
      <c r="D85" s="143">
        <v>0.03</v>
      </c>
      <c r="E85" s="143">
        <v>0.02</v>
      </c>
      <c r="F85" s="143">
        <v>0.02</v>
      </c>
      <c r="G85" s="144">
        <v>0.02</v>
      </c>
      <c r="H85" s="127" t="s">
        <v>71</v>
      </c>
    </row>
    <row r="86" spans="1:8" x14ac:dyDescent="0.3">
      <c r="A86" s="142" t="s">
        <v>132</v>
      </c>
      <c r="B86" s="143">
        <v>0.35</v>
      </c>
      <c r="C86" s="143">
        <v>0.25</v>
      </c>
      <c r="D86" s="143">
        <v>0.18</v>
      </c>
      <c r="E86" s="143">
        <v>0.12</v>
      </c>
      <c r="F86" s="143">
        <v>7.0000000000000007E-2</v>
      </c>
      <c r="G86" s="144">
        <v>0.04</v>
      </c>
      <c r="H86" s="127" t="s">
        <v>114</v>
      </c>
    </row>
    <row r="87" spans="1:8" x14ac:dyDescent="0.3">
      <c r="A87" s="142" t="s">
        <v>131</v>
      </c>
      <c r="B87" s="143">
        <v>0.18</v>
      </c>
      <c r="C87" s="143">
        <v>0.06</v>
      </c>
      <c r="D87" s="143">
        <v>0.04</v>
      </c>
      <c r="E87" s="143">
        <v>0.03</v>
      </c>
      <c r="F87" s="143">
        <v>0.02</v>
      </c>
      <c r="G87" s="144">
        <v>0.02</v>
      </c>
      <c r="H87" s="127" t="s">
        <v>114</v>
      </c>
    </row>
    <row r="88" spans="1:8" x14ac:dyDescent="0.3">
      <c r="A88" s="142"/>
      <c r="B88" s="143"/>
      <c r="C88" s="143"/>
      <c r="D88" s="143"/>
      <c r="E88" s="143"/>
      <c r="F88" s="143"/>
      <c r="G88" s="144"/>
      <c r="H88" s="145"/>
    </row>
    <row r="89" spans="1:8" x14ac:dyDescent="0.3">
      <c r="A89" s="142"/>
      <c r="B89" s="143"/>
      <c r="C89" s="143"/>
      <c r="D89" s="143"/>
      <c r="E89" s="143"/>
      <c r="F89" s="143"/>
      <c r="G89" s="144"/>
      <c r="H89" s="145"/>
    </row>
    <row r="90" spans="1:8" x14ac:dyDescent="0.3">
      <c r="A90" s="142"/>
      <c r="B90" s="143"/>
      <c r="C90" s="143"/>
      <c r="D90" s="143"/>
      <c r="E90" s="143"/>
      <c r="F90" s="143"/>
      <c r="G90" s="144"/>
      <c r="H90" s="145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8C4E-41B6-4898-BD0E-B6B01EF69927}">
  <dimension ref="A1:H30"/>
  <sheetViews>
    <sheetView workbookViewId="0">
      <selection activeCell="A13" sqref="A13"/>
    </sheetView>
  </sheetViews>
  <sheetFormatPr defaultRowHeight="14.4" x14ac:dyDescent="0.3"/>
  <cols>
    <col min="1" max="1" width="83.33203125" style="120" customWidth="1"/>
    <col min="2" max="4" width="12.109375" style="120" bestFit="1" customWidth="1"/>
    <col min="5" max="7" width="13.21875" style="120" bestFit="1" customWidth="1"/>
    <col min="8" max="8" width="26.6640625" style="120" customWidth="1"/>
    <col min="9" max="16384" width="8.88671875" style="120"/>
  </cols>
  <sheetData>
    <row r="1" spans="1:8" s="47" customFormat="1" ht="15.6" x14ac:dyDescent="0.3">
      <c r="A1" s="121" t="s">
        <v>0</v>
      </c>
      <c r="B1" s="122" t="s">
        <v>62</v>
      </c>
      <c r="C1" s="123" t="s">
        <v>63</v>
      </c>
      <c r="D1" s="123" t="s">
        <v>65</v>
      </c>
      <c r="E1" s="123" t="s">
        <v>64</v>
      </c>
      <c r="F1" s="123" t="s">
        <v>66</v>
      </c>
      <c r="G1" s="123" t="s">
        <v>67</v>
      </c>
      <c r="H1" s="123" t="s">
        <v>70</v>
      </c>
    </row>
    <row r="2" spans="1:8" x14ac:dyDescent="0.3">
      <c r="A2" s="124" t="s">
        <v>46</v>
      </c>
      <c r="B2" s="125">
        <v>0.3</v>
      </c>
      <c r="C2" s="126">
        <v>0.41</v>
      </c>
      <c r="D2" s="126">
        <v>0.49</v>
      </c>
      <c r="E2" s="126">
        <v>0.84</v>
      </c>
      <c r="F2" s="126">
        <v>0.87</v>
      </c>
      <c r="G2" s="126">
        <v>0.84</v>
      </c>
      <c r="H2" s="127" t="s">
        <v>71</v>
      </c>
    </row>
    <row r="3" spans="1:8" x14ac:dyDescent="0.3">
      <c r="A3" s="124" t="s">
        <v>49</v>
      </c>
      <c r="B3" s="126">
        <v>0.13</v>
      </c>
      <c r="C3" s="126">
        <v>0.33</v>
      </c>
      <c r="D3" s="126">
        <v>0.59</v>
      </c>
      <c r="E3" s="126">
        <v>0.57999999999999996</v>
      </c>
      <c r="F3" s="126">
        <v>0.61</v>
      </c>
      <c r="G3" s="126">
        <v>0.62</v>
      </c>
      <c r="H3" s="127" t="s">
        <v>71</v>
      </c>
    </row>
    <row r="4" spans="1:8" x14ac:dyDescent="0.3">
      <c r="A4" s="124" t="s">
        <v>50</v>
      </c>
      <c r="B4" s="126">
        <v>0.37</v>
      </c>
      <c r="C4" s="126">
        <v>0.48</v>
      </c>
      <c r="D4" s="126">
        <v>0.68</v>
      </c>
      <c r="E4" s="126">
        <v>0.73</v>
      </c>
      <c r="F4" s="126">
        <v>0.77</v>
      </c>
      <c r="G4" s="126">
        <v>0.74</v>
      </c>
      <c r="H4" s="127" t="s">
        <v>71</v>
      </c>
    </row>
    <row r="5" spans="1:8" x14ac:dyDescent="0.3">
      <c r="A5" s="128" t="s">
        <v>120</v>
      </c>
      <c r="B5" s="127">
        <v>0.18</v>
      </c>
      <c r="C5" s="127">
        <v>0.24</v>
      </c>
      <c r="D5" s="127">
        <v>0.28000000000000003</v>
      </c>
      <c r="E5" s="127">
        <v>0.33</v>
      </c>
      <c r="F5" s="127">
        <v>0.37</v>
      </c>
      <c r="G5" s="127">
        <v>0.39</v>
      </c>
      <c r="H5" s="127" t="s">
        <v>114</v>
      </c>
    </row>
    <row r="6" spans="1:8" x14ac:dyDescent="0.3">
      <c r="A6" s="129" t="s">
        <v>118</v>
      </c>
      <c r="B6" s="127">
        <v>0.02</v>
      </c>
      <c r="C6" s="127">
        <v>0.02</v>
      </c>
      <c r="D6" s="127">
        <v>0.03</v>
      </c>
      <c r="E6" s="127">
        <v>0.04</v>
      </c>
      <c r="F6" s="127">
        <v>0.06</v>
      </c>
      <c r="G6" s="127">
        <v>0.08</v>
      </c>
      <c r="H6" s="127" t="s">
        <v>114</v>
      </c>
    </row>
    <row r="7" spans="1:8" x14ac:dyDescent="0.3">
      <c r="A7" s="124" t="s">
        <v>122</v>
      </c>
      <c r="B7" s="126">
        <v>7.0000000000000007E-2</v>
      </c>
      <c r="C7" s="126">
        <v>0.12</v>
      </c>
      <c r="D7" s="126">
        <v>0.26</v>
      </c>
      <c r="E7" s="126">
        <v>0.42</v>
      </c>
      <c r="F7" s="125">
        <v>0.5</v>
      </c>
      <c r="G7" s="126">
        <v>0.55000000000000004</v>
      </c>
      <c r="H7" s="127" t="s">
        <v>71</v>
      </c>
    </row>
    <row r="8" spans="1:8" x14ac:dyDescent="0.3">
      <c r="A8" s="124" t="s">
        <v>48</v>
      </c>
      <c r="B8" s="126">
        <v>0.32</v>
      </c>
      <c r="C8" s="126">
        <v>0.62</v>
      </c>
      <c r="D8" s="126">
        <v>0.74</v>
      </c>
      <c r="E8" s="126">
        <v>0.76</v>
      </c>
      <c r="F8" s="126">
        <v>0.81</v>
      </c>
      <c r="G8" s="125">
        <v>0.9</v>
      </c>
      <c r="H8" s="127" t="s">
        <v>71</v>
      </c>
    </row>
    <row r="9" spans="1:8" x14ac:dyDescent="0.3">
      <c r="A9" s="128" t="s">
        <v>52</v>
      </c>
      <c r="B9" s="127">
        <v>0.56999999999999995</v>
      </c>
      <c r="C9" s="127">
        <v>0.61</v>
      </c>
      <c r="D9" s="127">
        <v>0.75</v>
      </c>
      <c r="E9" s="127">
        <v>0.86</v>
      </c>
      <c r="F9" s="127">
        <v>0.91</v>
      </c>
      <c r="G9" s="127">
        <v>0.91</v>
      </c>
      <c r="H9" s="127" t="s">
        <v>71</v>
      </c>
    </row>
    <row r="10" spans="1:8" x14ac:dyDescent="0.3">
      <c r="A10" s="128" t="s">
        <v>53</v>
      </c>
      <c r="B10" s="127">
        <v>0.05</v>
      </c>
      <c r="C10" s="127">
        <v>0.05</v>
      </c>
      <c r="D10" s="127">
        <v>0.05</v>
      </c>
      <c r="E10" s="127">
        <v>0.05</v>
      </c>
      <c r="F10" s="127">
        <v>0.08</v>
      </c>
      <c r="G10" s="127">
        <v>0.05</v>
      </c>
      <c r="H10" s="127" t="s">
        <v>71</v>
      </c>
    </row>
    <row r="11" spans="1:8" x14ac:dyDescent="0.3">
      <c r="A11" s="128" t="s">
        <v>54</v>
      </c>
      <c r="B11" s="127">
        <v>0.01</v>
      </c>
      <c r="C11" s="127">
        <v>0.02</v>
      </c>
      <c r="D11" s="127">
        <v>0.02</v>
      </c>
      <c r="E11" s="127">
        <v>0.02</v>
      </c>
      <c r="F11" s="127">
        <v>0.02</v>
      </c>
      <c r="G11" s="127">
        <v>0.02</v>
      </c>
      <c r="H11" s="127" t="s">
        <v>71</v>
      </c>
    </row>
    <row r="12" spans="1:8" x14ac:dyDescent="0.3">
      <c r="A12" s="128" t="s">
        <v>55</v>
      </c>
      <c r="B12" s="127">
        <v>0.44</v>
      </c>
      <c r="C12" s="127">
        <v>0.54</v>
      </c>
      <c r="D12" s="127">
        <v>0.6</v>
      </c>
      <c r="E12" s="127">
        <v>0.62</v>
      </c>
      <c r="F12" s="127">
        <v>0.57999999999999996</v>
      </c>
      <c r="G12" s="127">
        <v>0.57999999999999996</v>
      </c>
      <c r="H12" s="127" t="s">
        <v>71</v>
      </c>
    </row>
    <row r="13" spans="1:8" x14ac:dyDescent="0.3">
      <c r="A13" s="128" t="s">
        <v>56</v>
      </c>
      <c r="B13" s="127">
        <v>0.15</v>
      </c>
      <c r="C13" s="127">
        <v>0.19</v>
      </c>
      <c r="D13" s="127">
        <v>0.22</v>
      </c>
      <c r="E13" s="127">
        <v>0.39</v>
      </c>
      <c r="F13" s="127">
        <v>0.38</v>
      </c>
      <c r="G13" s="127">
        <v>0.38</v>
      </c>
      <c r="H13" s="127" t="s">
        <v>71</v>
      </c>
    </row>
    <row r="14" spans="1:8" x14ac:dyDescent="0.3">
      <c r="A14" s="124" t="s">
        <v>123</v>
      </c>
      <c r="B14" s="126">
        <v>0.12</v>
      </c>
      <c r="C14" s="126">
        <v>0.22</v>
      </c>
      <c r="D14" s="126">
        <v>0.37</v>
      </c>
      <c r="E14" s="125">
        <v>0.4</v>
      </c>
      <c r="F14" s="126">
        <v>0.42</v>
      </c>
      <c r="G14" s="126">
        <v>0.37</v>
      </c>
      <c r="H14" s="127" t="s">
        <v>71</v>
      </c>
    </row>
    <row r="15" spans="1:8" x14ac:dyDescent="0.3">
      <c r="A15" s="124" t="s">
        <v>51</v>
      </c>
      <c r="B15" s="125">
        <v>0.5</v>
      </c>
      <c r="C15" s="125">
        <v>0.4</v>
      </c>
      <c r="D15" s="125">
        <v>0.45</v>
      </c>
      <c r="E15" s="125">
        <v>0.45</v>
      </c>
      <c r="F15" s="125">
        <v>0.6</v>
      </c>
      <c r="G15" s="125">
        <v>0.7</v>
      </c>
      <c r="H15" s="127" t="s">
        <v>71</v>
      </c>
    </row>
    <row r="16" spans="1:8" x14ac:dyDescent="0.3">
      <c r="A16" s="128" t="s">
        <v>57</v>
      </c>
      <c r="B16" s="127">
        <v>0.15</v>
      </c>
      <c r="C16" s="127">
        <v>0.25</v>
      </c>
      <c r="D16" s="127">
        <v>0.35</v>
      </c>
      <c r="E16" s="127">
        <v>0.38</v>
      </c>
      <c r="F16" s="127">
        <v>0.38</v>
      </c>
      <c r="G16" s="127">
        <v>0.38</v>
      </c>
      <c r="H16" s="127" t="s">
        <v>71</v>
      </c>
    </row>
    <row r="17" spans="1:8" x14ac:dyDescent="0.3">
      <c r="A17" s="124" t="s">
        <v>124</v>
      </c>
      <c r="B17" s="126">
        <v>0.19</v>
      </c>
      <c r="C17" s="126">
        <v>0.33</v>
      </c>
      <c r="D17" s="126">
        <v>0.44</v>
      </c>
      <c r="E17" s="126">
        <v>0.42</v>
      </c>
      <c r="F17" s="126">
        <v>0.46</v>
      </c>
      <c r="G17" s="126">
        <v>0.37</v>
      </c>
      <c r="H17" s="127" t="s">
        <v>125</v>
      </c>
    </row>
    <row r="18" spans="1:8" x14ac:dyDescent="0.3">
      <c r="A18" s="124" t="s">
        <v>126</v>
      </c>
      <c r="B18" s="126">
        <v>0.17</v>
      </c>
      <c r="C18" s="125">
        <v>0.36</v>
      </c>
      <c r="D18" s="126">
        <v>0.47</v>
      </c>
      <c r="E18" s="126">
        <v>0.52</v>
      </c>
      <c r="F18" s="126">
        <v>0.53</v>
      </c>
      <c r="G18" s="126">
        <v>0.46</v>
      </c>
      <c r="H18" s="127" t="s">
        <v>125</v>
      </c>
    </row>
    <row r="19" spans="1:8" x14ac:dyDescent="0.3">
      <c r="A19" s="128" t="s">
        <v>58</v>
      </c>
      <c r="B19" s="127">
        <v>0.09</v>
      </c>
      <c r="C19" s="127">
        <v>0.13</v>
      </c>
      <c r="D19" s="127">
        <v>0.15</v>
      </c>
      <c r="E19" s="127">
        <v>0.15</v>
      </c>
      <c r="F19" s="127">
        <v>0.11</v>
      </c>
      <c r="G19" s="127">
        <v>0.11</v>
      </c>
      <c r="H19" s="127" t="s">
        <v>71</v>
      </c>
    </row>
    <row r="20" spans="1:8" x14ac:dyDescent="0.3">
      <c r="A20" s="128" t="s">
        <v>59</v>
      </c>
      <c r="B20" s="127">
        <v>0.02</v>
      </c>
      <c r="C20" s="127">
        <v>0.02</v>
      </c>
      <c r="D20" s="127">
        <v>0.02</v>
      </c>
      <c r="E20" s="127">
        <v>0.04</v>
      </c>
      <c r="F20" s="127">
        <v>0.04</v>
      </c>
      <c r="G20" s="127">
        <v>0.04</v>
      </c>
      <c r="H20" s="127" t="s">
        <v>71</v>
      </c>
    </row>
    <row r="21" spans="1:8" x14ac:dyDescent="0.3">
      <c r="A21" s="128" t="s">
        <v>127</v>
      </c>
      <c r="B21" s="127">
        <v>0.08</v>
      </c>
      <c r="C21" s="127">
        <v>0.16</v>
      </c>
      <c r="D21" s="127">
        <v>0.22</v>
      </c>
      <c r="E21" s="127">
        <v>0.23</v>
      </c>
      <c r="F21" s="127">
        <v>0.24</v>
      </c>
      <c r="G21" s="127">
        <v>0.24</v>
      </c>
      <c r="H21" s="127" t="s">
        <v>125</v>
      </c>
    </row>
    <row r="22" spans="1:8" x14ac:dyDescent="0.3">
      <c r="A22" s="128" t="s">
        <v>128</v>
      </c>
      <c r="B22" s="127">
        <v>0.39</v>
      </c>
      <c r="C22" s="127">
        <v>0.38</v>
      </c>
      <c r="D22" s="127">
        <v>0.38</v>
      </c>
      <c r="E22" s="127">
        <v>0.38</v>
      </c>
      <c r="F22" s="127">
        <v>0.42</v>
      </c>
      <c r="G22" s="127">
        <v>0.42</v>
      </c>
      <c r="H22" s="127" t="s">
        <v>125</v>
      </c>
    </row>
    <row r="23" spans="1:8" x14ac:dyDescent="0.3">
      <c r="A23" s="128" t="s">
        <v>60</v>
      </c>
      <c r="B23" s="127">
        <v>0.28000000000000003</v>
      </c>
      <c r="C23" s="127">
        <v>0.28000000000000003</v>
      </c>
      <c r="D23" s="127">
        <v>0.28000000000000003</v>
      </c>
      <c r="E23" s="127">
        <v>0.28000000000000003</v>
      </c>
      <c r="F23" s="127">
        <v>0.34</v>
      </c>
      <c r="G23" s="127">
        <v>0.34</v>
      </c>
      <c r="H23" s="127" t="s">
        <v>71</v>
      </c>
    </row>
    <row r="24" spans="1:8" x14ac:dyDescent="0.3">
      <c r="A24" s="128" t="s">
        <v>135</v>
      </c>
      <c r="B24" s="127">
        <v>0.15</v>
      </c>
      <c r="C24" s="127">
        <v>0.19</v>
      </c>
      <c r="D24" s="127">
        <v>0.61</v>
      </c>
      <c r="E24" s="127">
        <v>0.78</v>
      </c>
      <c r="F24" s="127">
        <v>0.87</v>
      </c>
      <c r="G24" s="127">
        <v>0.84</v>
      </c>
      <c r="H24" s="127" t="s">
        <v>108</v>
      </c>
    </row>
    <row r="25" spans="1:8" x14ac:dyDescent="0.3">
      <c r="A25" s="128" t="s">
        <v>134</v>
      </c>
      <c r="B25" s="127">
        <v>0.11</v>
      </c>
      <c r="C25" s="127">
        <v>0.17</v>
      </c>
      <c r="D25" s="127">
        <v>0.49</v>
      </c>
      <c r="E25" s="127">
        <v>0.68</v>
      </c>
      <c r="F25" s="127">
        <v>0.7</v>
      </c>
      <c r="G25" s="127">
        <v>0.7</v>
      </c>
      <c r="H25" s="127" t="s">
        <v>108</v>
      </c>
    </row>
    <row r="26" spans="1:8" x14ac:dyDescent="0.3">
      <c r="A26" s="128" t="s">
        <v>136</v>
      </c>
      <c r="B26" s="127">
        <v>0.33</v>
      </c>
      <c r="C26" s="127">
        <v>0.69</v>
      </c>
      <c r="D26" s="127">
        <v>0.95</v>
      </c>
      <c r="E26" s="127">
        <v>0.94</v>
      </c>
      <c r="F26" s="127">
        <v>0.86</v>
      </c>
      <c r="G26" s="127">
        <v>0.89</v>
      </c>
      <c r="H26" s="127" t="s">
        <v>108</v>
      </c>
    </row>
    <row r="27" spans="1:8" x14ac:dyDescent="0.3">
      <c r="A27" s="128" t="s">
        <v>133</v>
      </c>
      <c r="B27" s="127">
        <v>0.2</v>
      </c>
      <c r="C27" s="127">
        <v>0.6</v>
      </c>
      <c r="D27" s="127">
        <v>0.85</v>
      </c>
      <c r="E27" s="127">
        <v>0.82</v>
      </c>
      <c r="F27" s="127">
        <v>0.79</v>
      </c>
      <c r="G27" s="127">
        <v>0.78</v>
      </c>
      <c r="H27" s="127" t="s">
        <v>108</v>
      </c>
    </row>
    <row r="28" spans="1:8" x14ac:dyDescent="0.3">
      <c r="A28" s="130"/>
      <c r="B28" s="131"/>
      <c r="C28" s="131"/>
      <c r="D28" s="131"/>
      <c r="E28" s="131"/>
      <c r="F28" s="131"/>
      <c r="G28" s="131"/>
      <c r="H28" s="131"/>
    </row>
    <row r="29" spans="1:8" x14ac:dyDescent="0.3">
      <c r="A29" s="130"/>
      <c r="B29" s="131"/>
      <c r="C29" s="131"/>
      <c r="D29" s="131"/>
      <c r="E29" s="131"/>
      <c r="F29" s="131"/>
      <c r="G29" s="131"/>
      <c r="H29" s="131"/>
    </row>
    <row r="30" spans="1:8" x14ac:dyDescent="0.3">
      <c r="A30" s="130"/>
      <c r="B30" s="131"/>
      <c r="C30" s="131"/>
      <c r="D30" s="131"/>
      <c r="E30" s="131"/>
      <c r="F30" s="131"/>
      <c r="G30" s="131"/>
      <c r="H30" s="13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92326-5B28-4F54-A578-4CB8428D8637}">
  <dimension ref="A1:G60"/>
  <sheetViews>
    <sheetView topLeftCell="A25" zoomScale="125" zoomScaleNormal="125" workbookViewId="0">
      <selection activeCell="E7" sqref="E7"/>
    </sheetView>
  </sheetViews>
  <sheetFormatPr defaultRowHeight="14.4" x14ac:dyDescent="0.3"/>
  <cols>
    <col min="1" max="6" width="9.21875" customWidth="1"/>
  </cols>
  <sheetData>
    <row r="1" spans="1:7" ht="15" thickBot="1" x14ac:dyDescent="0.35">
      <c r="A1" s="219"/>
      <c r="B1" s="219"/>
      <c r="C1" s="33"/>
      <c r="D1" s="33"/>
      <c r="E1" s="33"/>
      <c r="F1" s="33"/>
    </row>
    <row r="2" spans="1:7" ht="15" thickBot="1" x14ac:dyDescent="0.35">
      <c r="B2" s="37" t="s">
        <v>98</v>
      </c>
      <c r="C2" s="39" t="s">
        <v>102</v>
      </c>
      <c r="D2" s="38" t="s">
        <v>103</v>
      </c>
      <c r="E2" s="38" t="s">
        <v>101</v>
      </c>
      <c r="F2" s="38" t="s">
        <v>100</v>
      </c>
      <c r="G2" s="34" t="s">
        <v>99</v>
      </c>
    </row>
    <row r="3" spans="1:7" x14ac:dyDescent="0.3">
      <c r="B3" s="35">
        <v>30</v>
      </c>
      <c r="C3" s="40">
        <v>0.3</v>
      </c>
      <c r="D3" s="31">
        <v>0.38</v>
      </c>
      <c r="E3" s="31"/>
      <c r="F3" s="31"/>
      <c r="G3" s="33">
        <v>0.9</v>
      </c>
    </row>
    <row r="4" spans="1:7" x14ac:dyDescent="0.3">
      <c r="B4" s="35">
        <v>60</v>
      </c>
      <c r="C4" s="40">
        <v>0.38</v>
      </c>
      <c r="D4" s="31">
        <v>0.48</v>
      </c>
      <c r="E4" s="31"/>
      <c r="F4" s="31"/>
      <c r="G4" s="33">
        <v>1.04</v>
      </c>
    </row>
    <row r="5" spans="1:7" x14ac:dyDescent="0.3">
      <c r="B5" s="35">
        <v>90</v>
      </c>
      <c r="C5" s="40">
        <v>0.44</v>
      </c>
      <c r="D5" s="31">
        <v>0.54</v>
      </c>
      <c r="E5" s="31">
        <v>0.62</v>
      </c>
      <c r="F5" s="31"/>
      <c r="G5" s="33">
        <v>1.1200000000000001</v>
      </c>
    </row>
    <row r="6" spans="1:7" x14ac:dyDescent="0.3">
      <c r="B6" s="36">
        <v>120</v>
      </c>
      <c r="C6" s="40">
        <v>0.46</v>
      </c>
      <c r="D6" s="31">
        <v>0.57999999999999996</v>
      </c>
      <c r="E6" s="31">
        <v>0.68</v>
      </c>
      <c r="F6" s="31"/>
      <c r="G6" s="33">
        <v>1.18</v>
      </c>
    </row>
    <row r="7" spans="1:7" x14ac:dyDescent="0.3">
      <c r="B7" s="35">
        <v>150</v>
      </c>
      <c r="C7" s="40">
        <v>0.5</v>
      </c>
      <c r="D7" s="31">
        <v>0.6</v>
      </c>
      <c r="E7" s="31">
        <v>0.72</v>
      </c>
      <c r="F7" s="31"/>
      <c r="G7" s="33">
        <v>1.24</v>
      </c>
    </row>
    <row r="8" spans="1:7" x14ac:dyDescent="0.3">
      <c r="B8" s="35">
        <v>180</v>
      </c>
      <c r="C8" s="40">
        <v>0.52</v>
      </c>
      <c r="D8" s="31">
        <v>0.62</v>
      </c>
      <c r="E8" s="31">
        <v>0.78</v>
      </c>
      <c r="F8" s="31"/>
      <c r="G8" s="33">
        <v>1.28</v>
      </c>
    </row>
    <row r="9" spans="1:7" x14ac:dyDescent="0.3">
      <c r="B9" s="35">
        <v>210</v>
      </c>
      <c r="C9" s="40">
        <v>0.54</v>
      </c>
      <c r="D9" s="31">
        <v>0.64</v>
      </c>
      <c r="E9" s="31">
        <v>0.8</v>
      </c>
      <c r="F9" s="31"/>
      <c r="G9" s="33">
        <v>1.3</v>
      </c>
    </row>
    <row r="10" spans="1:7" x14ac:dyDescent="0.3">
      <c r="B10" s="35">
        <v>240</v>
      </c>
      <c r="C10" s="40">
        <v>0.56000000000000005</v>
      </c>
      <c r="D10" s="31">
        <v>0.66</v>
      </c>
      <c r="E10" s="31">
        <v>0.82</v>
      </c>
      <c r="F10" s="31"/>
      <c r="G10" s="33">
        <v>1.34</v>
      </c>
    </row>
    <row r="11" spans="1:7" x14ac:dyDescent="0.3">
      <c r="B11" s="35">
        <v>270</v>
      </c>
      <c r="C11" s="40">
        <v>0.57999999999999996</v>
      </c>
      <c r="D11" s="31">
        <v>0.68</v>
      </c>
      <c r="E11" s="31">
        <v>0.84</v>
      </c>
      <c r="F11" s="31"/>
      <c r="G11" s="33">
        <v>1.36</v>
      </c>
    </row>
    <row r="12" spans="1:7" x14ac:dyDescent="0.3">
      <c r="B12" s="35">
        <v>300</v>
      </c>
      <c r="C12" s="40">
        <v>0.59</v>
      </c>
      <c r="D12" s="31">
        <v>0.7</v>
      </c>
      <c r="E12" s="31">
        <v>0.86</v>
      </c>
      <c r="F12" s="31">
        <v>0.94</v>
      </c>
      <c r="G12" s="33">
        <v>1.38</v>
      </c>
    </row>
    <row r="13" spans="1:7" x14ac:dyDescent="0.3">
      <c r="B13" s="35">
        <v>600</v>
      </c>
      <c r="C13" s="40">
        <v>0.68</v>
      </c>
      <c r="D13" s="31">
        <v>0.78</v>
      </c>
      <c r="E13" s="31">
        <v>1</v>
      </c>
      <c r="F13" s="31">
        <v>1.1000000000000001</v>
      </c>
      <c r="G13" s="33">
        <v>1.5</v>
      </c>
    </row>
    <row r="14" spans="1:7" x14ac:dyDescent="0.3">
      <c r="B14" s="35">
        <v>900</v>
      </c>
      <c r="C14" s="40"/>
      <c r="D14" s="31">
        <v>0.84</v>
      </c>
      <c r="E14" s="31">
        <v>1.1000000000000001</v>
      </c>
      <c r="F14" s="31">
        <v>1.2</v>
      </c>
      <c r="G14" s="33">
        <v>1.6</v>
      </c>
    </row>
    <row r="15" spans="1:7" x14ac:dyDescent="0.3">
      <c r="B15" s="35">
        <v>1200</v>
      </c>
      <c r="C15" s="40"/>
      <c r="D15" s="31">
        <v>0.88</v>
      </c>
      <c r="E15" s="31">
        <v>1.1599999999999999</v>
      </c>
      <c r="F15" s="31">
        <v>1.26</v>
      </c>
      <c r="G15" s="33">
        <v>1.66</v>
      </c>
    </row>
    <row r="16" spans="1:7" x14ac:dyDescent="0.3">
      <c r="B16" s="35">
        <v>1500</v>
      </c>
      <c r="C16" s="40"/>
      <c r="D16" s="31">
        <v>0.9</v>
      </c>
      <c r="E16" s="31">
        <v>1.2</v>
      </c>
      <c r="F16" s="31">
        <v>1.32</v>
      </c>
      <c r="G16" s="33">
        <v>1.7</v>
      </c>
    </row>
    <row r="17" spans="2:7" x14ac:dyDescent="0.3">
      <c r="B17" s="35">
        <v>1800</v>
      </c>
      <c r="C17" s="40"/>
      <c r="D17" s="31">
        <v>0.92</v>
      </c>
      <c r="E17" s="31">
        <v>1.22</v>
      </c>
      <c r="F17" s="31">
        <v>1.36</v>
      </c>
      <c r="G17" s="33">
        <v>1.74</v>
      </c>
    </row>
    <row r="18" spans="2:7" x14ac:dyDescent="0.3">
      <c r="B18" s="35">
        <v>2100</v>
      </c>
      <c r="C18" s="40"/>
      <c r="D18" s="31">
        <v>0.94</v>
      </c>
      <c r="E18" s="31">
        <v>1.26</v>
      </c>
      <c r="F18" s="31">
        <v>1.38</v>
      </c>
      <c r="G18" s="33">
        <v>1.76</v>
      </c>
    </row>
    <row r="19" spans="2:7" x14ac:dyDescent="0.3">
      <c r="B19" s="35">
        <v>2400</v>
      </c>
      <c r="C19" s="40"/>
      <c r="D19" s="31">
        <v>0.96</v>
      </c>
      <c r="E19" s="31">
        <v>1.3</v>
      </c>
      <c r="F19" s="31">
        <v>1.42</v>
      </c>
      <c r="G19" s="33">
        <v>1.78</v>
      </c>
    </row>
    <row r="20" spans="2:7" x14ac:dyDescent="0.3">
      <c r="B20" s="35">
        <v>2700</v>
      </c>
      <c r="C20" s="40"/>
      <c r="D20" s="31">
        <v>0.98</v>
      </c>
      <c r="E20" s="31">
        <v>1.32</v>
      </c>
      <c r="F20" s="31">
        <v>1.44</v>
      </c>
      <c r="G20" s="33">
        <v>1.82</v>
      </c>
    </row>
    <row r="21" spans="2:7" x14ac:dyDescent="0.3">
      <c r="B21" s="35">
        <v>3000</v>
      </c>
      <c r="C21" s="40"/>
      <c r="D21" s="31">
        <v>1</v>
      </c>
      <c r="E21" s="31">
        <v>1.34</v>
      </c>
      <c r="F21" s="31">
        <v>1.48</v>
      </c>
      <c r="G21" s="33">
        <v>1.84</v>
      </c>
    </row>
    <row r="22" spans="2:7" x14ac:dyDescent="0.3">
      <c r="B22" s="35">
        <v>6000</v>
      </c>
      <c r="C22" s="40"/>
      <c r="D22" s="31">
        <v>1.1000000000000001</v>
      </c>
      <c r="E22" s="31">
        <v>1.48</v>
      </c>
      <c r="F22" s="31">
        <v>1.64</v>
      </c>
      <c r="G22" s="33">
        <v>1.98</v>
      </c>
    </row>
    <row r="23" spans="2:7" x14ac:dyDescent="0.3">
      <c r="B23" s="35">
        <v>9000</v>
      </c>
      <c r="C23" s="40"/>
      <c r="D23" s="31">
        <v>1.1599999999999999</v>
      </c>
      <c r="E23" s="31">
        <v>1.56</v>
      </c>
      <c r="F23" s="31">
        <v>1.74</v>
      </c>
      <c r="G23" s="33">
        <v>2.04</v>
      </c>
    </row>
    <row r="24" spans="2:7" x14ac:dyDescent="0.3">
      <c r="B24" s="35">
        <v>12000</v>
      </c>
      <c r="C24" s="40"/>
      <c r="D24" s="31">
        <v>1.18</v>
      </c>
      <c r="E24" s="31">
        <v>1.62</v>
      </c>
      <c r="F24" s="31">
        <v>1.8</v>
      </c>
      <c r="G24" s="32">
        <v>2.12</v>
      </c>
    </row>
    <row r="25" spans="2:7" x14ac:dyDescent="0.3">
      <c r="B25" s="35">
        <v>15000</v>
      </c>
      <c r="C25" s="40"/>
      <c r="D25" s="31">
        <v>1.22</v>
      </c>
      <c r="E25" s="31">
        <v>1.68</v>
      </c>
      <c r="F25" s="31">
        <v>1.86</v>
      </c>
      <c r="G25" s="32">
        <v>2.1800000000000002</v>
      </c>
    </row>
    <row r="26" spans="2:7" x14ac:dyDescent="0.3">
      <c r="B26" s="35">
        <v>18000</v>
      </c>
      <c r="C26" s="40"/>
      <c r="D26" s="31">
        <v>1.24</v>
      </c>
      <c r="E26" s="31">
        <v>1.72</v>
      </c>
      <c r="F26" s="31">
        <v>1.9</v>
      </c>
      <c r="G26" s="32">
        <v>2.2000000000000002</v>
      </c>
    </row>
    <row r="27" spans="2:7" x14ac:dyDescent="0.3">
      <c r="B27" s="35">
        <v>21000</v>
      </c>
      <c r="C27" s="40"/>
      <c r="D27" s="31">
        <v>1.26</v>
      </c>
      <c r="E27" s="31">
        <v>1.74</v>
      </c>
      <c r="F27" s="31">
        <v>1.94</v>
      </c>
      <c r="G27" s="32">
        <v>2.2400000000000002</v>
      </c>
    </row>
    <row r="28" spans="2:7" x14ac:dyDescent="0.3">
      <c r="B28" s="35">
        <v>24000</v>
      </c>
      <c r="C28" s="40"/>
      <c r="D28" s="31">
        <v>1.28</v>
      </c>
      <c r="E28" s="31">
        <v>1.76</v>
      </c>
      <c r="F28" s="31">
        <v>1.96</v>
      </c>
      <c r="G28" s="32">
        <v>2.2599999999999998</v>
      </c>
    </row>
    <row r="29" spans="2:7" x14ac:dyDescent="0.3">
      <c r="B29" s="35">
        <v>27000</v>
      </c>
      <c r="C29" s="40"/>
      <c r="D29" s="31">
        <v>1.3</v>
      </c>
      <c r="E29" s="31">
        <v>1.78</v>
      </c>
      <c r="F29" s="31">
        <v>1.98</v>
      </c>
      <c r="G29" s="32">
        <v>2.2999999999999998</v>
      </c>
    </row>
    <row r="30" spans="2:7" ht="15" thickBot="1" x14ac:dyDescent="0.35">
      <c r="B30" s="41">
        <v>30000</v>
      </c>
      <c r="C30" s="40"/>
      <c r="D30" s="31">
        <v>1.32</v>
      </c>
      <c r="E30" s="31">
        <v>1.8</v>
      </c>
      <c r="F30" s="31">
        <v>2</v>
      </c>
      <c r="G30" s="32">
        <v>2.3199999999999998</v>
      </c>
    </row>
    <row r="31" spans="2:7" ht="15" thickBot="1" x14ac:dyDescent="0.35"/>
    <row r="32" spans="2:7" ht="15" thickBot="1" x14ac:dyDescent="0.35">
      <c r="B32" s="37" t="s">
        <v>98</v>
      </c>
      <c r="C32" s="39" t="s">
        <v>102</v>
      </c>
      <c r="D32" s="38" t="s">
        <v>103</v>
      </c>
      <c r="E32" s="38" t="s">
        <v>101</v>
      </c>
      <c r="F32" s="38" t="s">
        <v>100</v>
      </c>
      <c r="G32" s="34" t="s">
        <v>99</v>
      </c>
    </row>
    <row r="33" spans="2:7" x14ac:dyDescent="0.3">
      <c r="B33" s="35">
        <v>30000</v>
      </c>
      <c r="C33" s="40"/>
      <c r="D33" s="31">
        <v>1.32</v>
      </c>
      <c r="E33" s="31">
        <v>1.8</v>
      </c>
      <c r="F33" s="31">
        <v>2</v>
      </c>
      <c r="G33" s="32">
        <v>2.3199999999999998</v>
      </c>
    </row>
    <row r="34" spans="2:7" x14ac:dyDescent="0.3">
      <c r="B34" s="35">
        <v>27000</v>
      </c>
      <c r="C34" s="40"/>
      <c r="D34" s="31">
        <v>1.3</v>
      </c>
      <c r="E34" s="31">
        <v>1.78</v>
      </c>
      <c r="F34" s="31">
        <v>1.98</v>
      </c>
      <c r="G34" s="32">
        <v>2.2999999999999998</v>
      </c>
    </row>
    <row r="35" spans="2:7" x14ac:dyDescent="0.3">
      <c r="B35" s="35">
        <v>24000</v>
      </c>
      <c r="C35" s="40"/>
      <c r="D35" s="31">
        <v>1.28</v>
      </c>
      <c r="E35" s="31">
        <v>1.76</v>
      </c>
      <c r="F35" s="31">
        <v>1.96</v>
      </c>
      <c r="G35" s="32">
        <v>2.2599999999999998</v>
      </c>
    </row>
    <row r="36" spans="2:7" x14ac:dyDescent="0.3">
      <c r="B36" s="35">
        <v>21000</v>
      </c>
      <c r="C36" s="40"/>
      <c r="D36" s="31">
        <v>1.26</v>
      </c>
      <c r="E36" s="31">
        <v>1.74</v>
      </c>
      <c r="F36" s="31">
        <v>1.94</v>
      </c>
      <c r="G36" s="32">
        <v>2.2400000000000002</v>
      </c>
    </row>
    <row r="37" spans="2:7" x14ac:dyDescent="0.3">
      <c r="B37" s="35">
        <v>18000</v>
      </c>
      <c r="C37" s="40"/>
      <c r="D37" s="31">
        <v>1.24</v>
      </c>
      <c r="E37" s="31">
        <v>1.72</v>
      </c>
      <c r="F37" s="31">
        <v>1.9</v>
      </c>
      <c r="G37" s="32">
        <v>2.2000000000000002</v>
      </c>
    </row>
    <row r="38" spans="2:7" x14ac:dyDescent="0.3">
      <c r="B38" s="35">
        <v>15000</v>
      </c>
      <c r="C38" s="40"/>
      <c r="D38" s="31">
        <v>1.22</v>
      </c>
      <c r="E38" s="31">
        <v>1.68</v>
      </c>
      <c r="F38" s="31">
        <v>1.86</v>
      </c>
      <c r="G38" s="32">
        <v>2.1800000000000002</v>
      </c>
    </row>
    <row r="39" spans="2:7" x14ac:dyDescent="0.3">
      <c r="B39" s="35">
        <v>12000</v>
      </c>
      <c r="C39" s="40"/>
      <c r="D39" s="31">
        <v>1.18</v>
      </c>
      <c r="E39" s="31">
        <v>1.62</v>
      </c>
      <c r="F39" s="31">
        <v>1.8</v>
      </c>
      <c r="G39" s="32">
        <v>2.12</v>
      </c>
    </row>
    <row r="40" spans="2:7" x14ac:dyDescent="0.3">
      <c r="B40" s="35">
        <v>9000</v>
      </c>
      <c r="C40" s="40"/>
      <c r="D40" s="31">
        <v>1.1599999999999999</v>
      </c>
      <c r="E40" s="31">
        <v>1.56</v>
      </c>
      <c r="F40" s="31">
        <v>1.74</v>
      </c>
      <c r="G40" s="33">
        <v>2.04</v>
      </c>
    </row>
    <row r="41" spans="2:7" x14ac:dyDescent="0.3">
      <c r="B41" s="35">
        <v>6000</v>
      </c>
      <c r="C41" s="40"/>
      <c r="D41" s="31">
        <v>1.1000000000000001</v>
      </c>
      <c r="E41" s="31">
        <v>1.48</v>
      </c>
      <c r="F41" s="31">
        <v>1.64</v>
      </c>
      <c r="G41" s="33">
        <v>1.98</v>
      </c>
    </row>
    <row r="42" spans="2:7" x14ac:dyDescent="0.3">
      <c r="B42" s="35">
        <v>3000</v>
      </c>
      <c r="C42" s="40"/>
      <c r="D42" s="31">
        <v>1</v>
      </c>
      <c r="E42" s="31">
        <v>1.34</v>
      </c>
      <c r="F42" s="31">
        <v>1.48</v>
      </c>
      <c r="G42" s="33">
        <v>1.84</v>
      </c>
    </row>
    <row r="43" spans="2:7" x14ac:dyDescent="0.3">
      <c r="B43" s="35">
        <v>2700</v>
      </c>
      <c r="C43" s="40"/>
      <c r="D43" s="31">
        <v>0.98</v>
      </c>
      <c r="E43" s="31">
        <v>1.32</v>
      </c>
      <c r="F43" s="31">
        <v>1.44</v>
      </c>
      <c r="G43" s="33">
        <v>1.82</v>
      </c>
    </row>
    <row r="44" spans="2:7" x14ac:dyDescent="0.3">
      <c r="B44" s="35">
        <v>2400</v>
      </c>
      <c r="C44" s="40"/>
      <c r="D44" s="31">
        <v>0.96</v>
      </c>
      <c r="E44" s="31">
        <v>1.3</v>
      </c>
      <c r="F44" s="31">
        <v>1.42</v>
      </c>
      <c r="G44" s="33">
        <v>1.78</v>
      </c>
    </row>
    <row r="45" spans="2:7" x14ac:dyDescent="0.3">
      <c r="B45" s="35">
        <v>2100</v>
      </c>
      <c r="C45" s="40"/>
      <c r="D45" s="31">
        <v>0.94</v>
      </c>
      <c r="E45" s="31">
        <v>1.26</v>
      </c>
      <c r="F45" s="31">
        <v>1.38</v>
      </c>
      <c r="G45" s="33">
        <v>1.76</v>
      </c>
    </row>
    <row r="46" spans="2:7" x14ac:dyDescent="0.3">
      <c r="B46" s="35">
        <v>1800</v>
      </c>
      <c r="C46" s="40"/>
      <c r="D46" s="31">
        <v>0.92</v>
      </c>
      <c r="E46" s="31">
        <v>1.22</v>
      </c>
      <c r="F46" s="31">
        <v>1.36</v>
      </c>
      <c r="G46" s="33">
        <v>1.74</v>
      </c>
    </row>
    <row r="47" spans="2:7" x14ac:dyDescent="0.3">
      <c r="B47" s="35">
        <v>1500</v>
      </c>
      <c r="C47" s="40"/>
      <c r="D47" s="31">
        <v>0.9</v>
      </c>
      <c r="E47" s="31">
        <v>1.2</v>
      </c>
      <c r="F47" s="31">
        <v>1.32</v>
      </c>
      <c r="G47" s="33">
        <v>1.7</v>
      </c>
    </row>
    <row r="48" spans="2:7" x14ac:dyDescent="0.3">
      <c r="B48" s="35">
        <v>1200</v>
      </c>
      <c r="C48" s="40"/>
      <c r="D48" s="31">
        <v>0.88</v>
      </c>
      <c r="E48" s="31">
        <v>1.1599999999999999</v>
      </c>
      <c r="F48" s="31">
        <v>1.26</v>
      </c>
      <c r="G48" s="33">
        <v>1.66</v>
      </c>
    </row>
    <row r="49" spans="2:7" x14ac:dyDescent="0.3">
      <c r="B49" s="35">
        <v>900</v>
      </c>
      <c r="C49" s="40"/>
      <c r="D49" s="31">
        <v>0.84</v>
      </c>
      <c r="E49" s="31">
        <v>1.1000000000000001</v>
      </c>
      <c r="F49" s="31">
        <v>1.2</v>
      </c>
      <c r="G49" s="33">
        <v>1.6</v>
      </c>
    </row>
    <row r="50" spans="2:7" x14ac:dyDescent="0.3">
      <c r="B50" s="35">
        <v>600</v>
      </c>
      <c r="C50" s="40">
        <v>0.68</v>
      </c>
      <c r="D50" s="31">
        <v>0.78</v>
      </c>
      <c r="E50" s="31">
        <v>1</v>
      </c>
      <c r="F50" s="31">
        <v>1.1000000000000001</v>
      </c>
      <c r="G50" s="33">
        <v>1.5</v>
      </c>
    </row>
    <row r="51" spans="2:7" x14ac:dyDescent="0.3">
      <c r="B51" s="35">
        <v>300</v>
      </c>
      <c r="C51" s="40">
        <v>0.59</v>
      </c>
      <c r="D51" s="31">
        <v>0.7</v>
      </c>
      <c r="E51" s="31">
        <v>0.86</v>
      </c>
      <c r="F51" s="31">
        <v>0.94</v>
      </c>
      <c r="G51" s="33">
        <v>1.38</v>
      </c>
    </row>
    <row r="52" spans="2:7" x14ac:dyDescent="0.3">
      <c r="B52" s="35">
        <v>270</v>
      </c>
      <c r="C52" s="40">
        <v>0.57999999999999996</v>
      </c>
      <c r="D52" s="31">
        <v>0.68</v>
      </c>
      <c r="E52" s="31">
        <v>0.84</v>
      </c>
      <c r="F52" s="31"/>
      <c r="G52" s="33">
        <v>1.36</v>
      </c>
    </row>
    <row r="53" spans="2:7" x14ac:dyDescent="0.3">
      <c r="B53" s="35">
        <v>240</v>
      </c>
      <c r="C53" s="40">
        <v>0.56000000000000005</v>
      </c>
      <c r="D53" s="31">
        <v>0.66</v>
      </c>
      <c r="E53" s="31">
        <v>0.82</v>
      </c>
      <c r="F53" s="31"/>
      <c r="G53" s="33">
        <v>1.34</v>
      </c>
    </row>
    <row r="54" spans="2:7" x14ac:dyDescent="0.3">
      <c r="B54" s="35">
        <v>210</v>
      </c>
      <c r="C54" s="40">
        <v>0.54</v>
      </c>
      <c r="D54" s="31">
        <v>0.64</v>
      </c>
      <c r="E54" s="31">
        <v>0.8</v>
      </c>
      <c r="F54" s="31"/>
      <c r="G54" s="33">
        <v>1.3</v>
      </c>
    </row>
    <row r="55" spans="2:7" x14ac:dyDescent="0.3">
      <c r="B55" s="35">
        <v>180</v>
      </c>
      <c r="C55" s="40">
        <v>0.52</v>
      </c>
      <c r="D55" s="31">
        <v>0.62</v>
      </c>
      <c r="E55" s="31">
        <v>0.78</v>
      </c>
      <c r="F55" s="31"/>
      <c r="G55" s="33">
        <v>1.28</v>
      </c>
    </row>
    <row r="56" spans="2:7" x14ac:dyDescent="0.3">
      <c r="B56" s="35">
        <v>150</v>
      </c>
      <c r="C56" s="40">
        <v>0.5</v>
      </c>
      <c r="D56" s="31">
        <v>0.6</v>
      </c>
      <c r="E56" s="31">
        <v>0.72</v>
      </c>
      <c r="F56" s="31"/>
      <c r="G56" s="33">
        <v>1.24</v>
      </c>
    </row>
    <row r="57" spans="2:7" x14ac:dyDescent="0.3">
      <c r="B57" s="36">
        <v>120</v>
      </c>
      <c r="C57" s="40">
        <v>0.46</v>
      </c>
      <c r="D57" s="31">
        <v>0.57999999999999996</v>
      </c>
      <c r="E57" s="31">
        <v>0.68</v>
      </c>
      <c r="F57" s="31"/>
      <c r="G57" s="33">
        <v>1.18</v>
      </c>
    </row>
    <row r="58" spans="2:7" x14ac:dyDescent="0.3">
      <c r="B58" s="35">
        <v>90</v>
      </c>
      <c r="C58" s="40">
        <v>0.44</v>
      </c>
      <c r="D58" s="31">
        <v>0.54</v>
      </c>
      <c r="E58" s="31">
        <v>0.62</v>
      </c>
      <c r="F58" s="31"/>
      <c r="G58" s="33">
        <v>1.1200000000000001</v>
      </c>
    </row>
    <row r="59" spans="2:7" x14ac:dyDescent="0.3">
      <c r="B59" s="35">
        <v>60</v>
      </c>
      <c r="C59" s="40">
        <v>0.38</v>
      </c>
      <c r="D59" s="31">
        <v>0.48</v>
      </c>
      <c r="E59" s="31"/>
      <c r="F59" s="31"/>
      <c r="G59" s="33">
        <v>1.04</v>
      </c>
    </row>
    <row r="60" spans="2:7" ht="15" thickBot="1" x14ac:dyDescent="0.35">
      <c r="B60" s="41">
        <v>30</v>
      </c>
      <c r="C60" s="40">
        <v>0.3</v>
      </c>
      <c r="D60" s="31">
        <v>0.38</v>
      </c>
      <c r="E60" s="31"/>
      <c r="F60" s="31"/>
      <c r="G60" s="33">
        <v>0.9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23</vt:i4>
      </vt:variant>
    </vt:vector>
  </HeadingPairs>
  <TitlesOfParts>
    <vt:vector size="28" baseType="lpstr">
      <vt:lpstr>CALC_TR_SABINE</vt:lpstr>
      <vt:lpstr>CALC_TR_FITZROY</vt:lpstr>
      <vt:lpstr>BASE_M²</vt:lpstr>
      <vt:lpstr>BASE_UN</vt:lpstr>
      <vt:lpstr>NBR12179 - TR_ÓTIMO</vt:lpstr>
      <vt:lpstr>a_Ex</vt:lpstr>
      <vt:lpstr>a_Ex_125</vt:lpstr>
      <vt:lpstr>a_Ex_1k</vt:lpstr>
      <vt:lpstr>a_Ex_250</vt:lpstr>
      <vt:lpstr>a_Ex_2k</vt:lpstr>
      <vt:lpstr>a_Ex_4k</vt:lpstr>
      <vt:lpstr>a_Ex_500</vt:lpstr>
      <vt:lpstr>a_Ey</vt:lpstr>
      <vt:lpstr>a_Ez</vt:lpstr>
      <vt:lpstr>aF</vt:lpstr>
      <vt:lpstr>Altura</vt:lpstr>
      <vt:lpstr>aST</vt:lpstr>
      <vt:lpstr>Comp</vt:lpstr>
      <vt:lpstr>Comprimento</vt:lpstr>
      <vt:lpstr>Largura</vt:lpstr>
      <vt:lpstr>St</vt:lpstr>
      <vt:lpstr>Superficie</vt:lpstr>
      <vt:lpstr>Sx</vt:lpstr>
      <vt:lpstr>Sy</vt:lpstr>
      <vt:lpstr>Sz</vt:lpstr>
      <vt:lpstr>TR_CA</vt:lpstr>
      <vt:lpstr>TR_ST</vt:lpstr>
      <vt:lpstr>Volume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Francisco Martins Nunes</cp:lastModifiedBy>
  <dcterms:created xsi:type="dcterms:W3CDTF">2021-09-25T14:08:51Z</dcterms:created>
  <dcterms:modified xsi:type="dcterms:W3CDTF">2025-05-29T15:26:44Z</dcterms:modified>
</cp:coreProperties>
</file>